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shira.v\Documents\תקציב\חריגות משרדיות\2021\"/>
    </mc:Choice>
  </mc:AlternateContent>
  <xr:revisionPtr revIDLastSave="0" documentId="13_ncr:1_{E3AA247B-2CB0-42E9-9848-D611649448B4}" xr6:coauthVersionLast="46" xr6:coauthVersionMax="46" xr10:uidLastSave="{00000000-0000-0000-0000-000000000000}"/>
  <bookViews>
    <workbookView xWindow="-108" yWindow="-108" windowWidth="23256" windowHeight="12576" firstSheet="3" activeTab="3" xr2:uid="{00000000-000D-0000-FFFF-FFFF00000000}"/>
  </bookViews>
  <sheets>
    <sheet name="דוח תנועות" sheetId="28" state="hidden" r:id="rId1"/>
    <sheet name="דוח פניות לאוצר 2021" sheetId="24" state="hidden" r:id="rId2"/>
    <sheet name="מרץ" sheetId="25" state="hidden" r:id="rId3"/>
    <sheet name="אפריל" sheetId="27" r:id="rId4"/>
  </sheets>
  <externalReferences>
    <externalReference r:id="rId5"/>
    <externalReference r:id="rId6"/>
  </externalReferences>
  <definedNames>
    <definedName name="נספח_ב" localSheetId="3">אפריל!#REF!</definedName>
    <definedName name="נספח_ב" localSheetId="2">מרץ!#REF!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7" l="1"/>
  <c r="D14" i="27"/>
  <c r="O27" i="28" l="1"/>
  <c r="F27" i="28"/>
  <c r="O26" i="28"/>
  <c r="F26" i="28"/>
  <c r="N25" i="28"/>
  <c r="O25" i="28" s="1"/>
  <c r="F25" i="28"/>
  <c r="O24" i="28"/>
  <c r="F24" i="28"/>
  <c r="N23" i="28"/>
  <c r="F23" i="28"/>
  <c r="O22" i="28"/>
  <c r="F22" i="28"/>
  <c r="O21" i="28"/>
  <c r="F21" i="28"/>
  <c r="F20" i="28"/>
  <c r="D20" i="28"/>
  <c r="O20" i="28" s="1"/>
  <c r="F19" i="28"/>
  <c r="D19" i="28"/>
  <c r="N18" i="28"/>
  <c r="O18" i="28" s="1"/>
  <c r="F18" i="28"/>
  <c r="F17" i="28"/>
  <c r="D17" i="28"/>
  <c r="O17" i="28" s="1"/>
  <c r="F16" i="28"/>
  <c r="D16" i="28"/>
  <c r="O16" i="28" s="1"/>
  <c r="O15" i="28"/>
  <c r="F15" i="28"/>
  <c r="O14" i="28"/>
  <c r="F13" i="28"/>
  <c r="D13" i="28"/>
  <c r="O13" i="28" s="1"/>
  <c r="F12" i="28"/>
  <c r="D12" i="28"/>
  <c r="O12" i="28" s="1"/>
  <c r="F11" i="28"/>
  <c r="D11" i="28"/>
  <c r="O11" i="28" s="1"/>
  <c r="F10" i="28"/>
  <c r="D10" i="28"/>
  <c r="O10" i="28" s="1"/>
  <c r="F9" i="28"/>
  <c r="D9" i="28"/>
  <c r="O9" i="28" s="1"/>
  <c r="O8" i="28"/>
  <c r="F8" i="28"/>
  <c r="O7" i="28"/>
  <c r="F7" i="28"/>
  <c r="F6" i="28"/>
  <c r="D6" i="28"/>
  <c r="O6" i="28" s="1"/>
  <c r="F5" i="28"/>
  <c r="D5" i="28"/>
  <c r="O5" i="28" s="1"/>
  <c r="O4" i="28"/>
  <c r="F4" i="28"/>
  <c r="O3" i="28"/>
  <c r="F3" i="28"/>
  <c r="O2" i="28"/>
  <c r="F2" i="28"/>
  <c r="D23" i="27"/>
  <c r="D20" i="25"/>
  <c r="D8" i="25"/>
  <c r="D23" i="25"/>
  <c r="O23" i="28" l="1"/>
  <c r="N19" i="28"/>
  <c r="O19" i="28" s="1"/>
  <c r="J11" i="24"/>
  <c r="G11" i="24"/>
  <c r="J10" i="24"/>
  <c r="G10" i="24"/>
  <c r="F9" i="24"/>
  <c r="J9" i="24" s="1"/>
  <c r="F8" i="24"/>
  <c r="G8" i="24" s="1"/>
  <c r="F7" i="24"/>
  <c r="J7" i="24" s="1"/>
  <c r="J6" i="24"/>
  <c r="F6" i="24"/>
  <c r="G6" i="24" s="1"/>
  <c r="J5" i="24"/>
  <c r="G5" i="24"/>
  <c r="I4" i="24"/>
  <c r="J4" i="24" s="1"/>
  <c r="G4" i="24"/>
  <c r="I3" i="24"/>
  <c r="J3" i="24" s="1"/>
  <c r="G3" i="24"/>
  <c r="J2" i="24"/>
  <c r="G2" i="24"/>
  <c r="N28" i="28" l="1"/>
  <c r="D22" i="25"/>
  <c r="D25" i="25" s="1"/>
  <c r="G9" i="24"/>
  <c r="J8" i="24"/>
  <c r="G7" i="24"/>
</calcChain>
</file>

<file path=xl/sharedStrings.xml><?xml version="1.0" encoding="utf-8"?>
<sst xmlns="http://schemas.openxmlformats.org/spreadsheetml/2006/main" count="219" uniqueCount="157">
  <si>
    <t>הרשות הלאומית לחדשנות טכנולוגית</t>
  </si>
  <si>
    <t>פורמט לדיווח על החלטות בעניין הוצאות המשרד</t>
  </si>
  <si>
    <t>מס</t>
  </si>
  <si>
    <t>ספק</t>
  </si>
  <si>
    <t>נושא ההתקשרות</t>
  </si>
  <si>
    <r>
      <t>סכום ההתקשרות (</t>
    </r>
    <r>
      <rPr>
        <sz val="8"/>
        <color theme="1"/>
        <rFont val="Arial"/>
        <family val="2"/>
        <charset val="177"/>
        <scheme val="minor"/>
      </rPr>
      <t>סכום ההתקשרות ולא סכום המזומן</t>
    </r>
    <r>
      <rPr>
        <sz val="11"/>
        <color theme="1"/>
        <rFont val="Arial"/>
        <family val="2"/>
        <charset val="177"/>
        <scheme val="minor"/>
      </rPr>
      <t>)</t>
    </r>
  </si>
  <si>
    <t xml:space="preserve">שם הספק </t>
  </si>
  <si>
    <t>סכום מבוקש בש"ח כולל מעמ!!</t>
  </si>
  <si>
    <t>תקנה/ פריט התחייבות</t>
  </si>
  <si>
    <t>שם תקנה</t>
  </si>
  <si>
    <t>מרכז קרנות</t>
  </si>
  <si>
    <t>שם מרכז קרנות</t>
  </si>
  <si>
    <t>תפעול</t>
  </si>
  <si>
    <t>משרדיות</t>
  </si>
  <si>
    <t>אושר</t>
  </si>
  <si>
    <t xml:space="preserve">מחשוב </t>
  </si>
  <si>
    <t>משאבי אנוש</t>
  </si>
  <si>
    <t>מספר</t>
  </si>
  <si>
    <t>תאריך פנייה</t>
  </si>
  <si>
    <t>נושא</t>
  </si>
  <si>
    <t>סכום מבוקש</t>
  </si>
  <si>
    <t>סטטוס</t>
  </si>
  <si>
    <t>סכום מאושר</t>
  </si>
  <si>
    <t>שיווק</t>
  </si>
  <si>
    <t>ביקורת פרויקטים</t>
  </si>
  <si>
    <t>המערך הטכנולוגי</t>
  </si>
  <si>
    <t>הפרש</t>
  </si>
  <si>
    <t>נספח ב להודעת הנחיות לביצוע התקציב בשנת 2021</t>
  </si>
  <si>
    <t>24.01.2021</t>
  </si>
  <si>
    <t>25.01.2021</t>
  </si>
  <si>
    <t>הערות</t>
  </si>
  <si>
    <t xml:space="preserve">ניצול מתוך הפנייה </t>
  </si>
  <si>
    <t xml:space="preserve">יתרה לניצול </t>
  </si>
  <si>
    <t>בקשה למתן מענקים מכוח החוק לעידוד מחקר, פיתוח וחדשנות טכנולוגית בתעשייה, תשמ"ד-1094 (תקציב הרשאה) והתקשרויות נלוות, עבור קול קורא לניסוי והדגמת טכנולוגיות רחפנים במרחב אווירי מנוהל-  הרשות הלאומית לחדשנות</t>
  </si>
  <si>
    <t>בקשה להתקשרות עם משרדי רואי חשבון + מעריכי שווי קניין רוחני – הרשות הלאומית לחדשנות טכנולוגית</t>
  </si>
  <si>
    <t>07.02.2021</t>
  </si>
  <si>
    <t xml:space="preserve">בקשה להתקשרות עם בודקים מקצועיים  </t>
  </si>
  <si>
    <t>14.02.2021</t>
  </si>
  <si>
    <t xml:space="preserve">בקשה לאישור התקשרות עם בי ויי הפקות והשקעות בע"מ להפקת כנס השקה לתכנית הורייזון אירופה (Horizon Europe) </t>
  </si>
  <si>
    <t>הוגש</t>
  </si>
  <si>
    <t>יאושר על ידי החשב- יצאה הוראת תכם מעודכנת בנושא</t>
  </si>
  <si>
    <t>דיור</t>
  </si>
  <si>
    <t>23.02.2021</t>
  </si>
  <si>
    <t>02.03.2021</t>
  </si>
  <si>
    <t xml:space="preserve">בקשה ל: מתן מענקים מכוח החוק לעידוד מחקר, פיתוח וחדשנות טכנולוגית בתעשייה, תשמ"ד-1094 (תקציב הרשאה) והתקשרויות נלוות – הרשות הלאומית לחדשנות טכנולוגית- </t>
  </si>
  <si>
    <t>תקציב הרשאה הגדלה ל 526.2 משל"ח + לפמ 1.5 מלשח. הסכום המבוקש מתייחס לתקציב מזומן בלבד</t>
  </si>
  <si>
    <t>14.03.2021</t>
  </si>
  <si>
    <t>בקשה להתקשרות עם ספקים המעניקים שירותי יחסי ציבור בארץ ובחו"ל – רשות החדשנות</t>
  </si>
  <si>
    <t>דבי משה והמקומיוניקיישנס</t>
  </si>
  <si>
    <t>16.03.2021</t>
  </si>
  <si>
    <t xml:space="preserve">בקשה לאישור פרסומה של פנייה פרטנית מכוח מכרז מסגרת מס' 11/2018 של הרשות, לקבלת שירותי מידענות ומחקר שוק, ולהתקשרות עם ספק המסגרת הזוכה בפנייה הפרטנית, לצורך ניהול, ריכוז וניתוח הממצאים של פנייה לציבור לקבלת מידע בנוגע לרגולציה וחסמים רגולטוריים ביחס לתחום הבינה המלאכותית, לשם קידום פעילות זו בישראל </t>
  </si>
  <si>
    <t>18.03.2021</t>
  </si>
  <si>
    <t>בקשה למימוש אופציה להתקשרות עם ארנסט יאנג (ישראל) בע"מ – רשות החדשנות</t>
  </si>
  <si>
    <t>דוח החרגות לחודש: מרץ 2021</t>
  </si>
  <si>
    <t>פרסומי חודש 03/2021 בהתאם להוראות סעיף 49(ב) לחוק יסודות התקציב, תשמ"ה-1985</t>
  </si>
  <si>
    <t>01.12.2020</t>
  </si>
  <si>
    <t>סאני תקשורת</t>
  </si>
  <si>
    <t>הגדלת התקשרות ל 2021</t>
  </si>
  <si>
    <t>כנס מכון הייצוא - השתתפות הרשות</t>
  </si>
  <si>
    <t>מלמ</t>
  </si>
  <si>
    <t>05.01.2021</t>
  </si>
  <si>
    <t>עיתון הארץ</t>
  </si>
  <si>
    <t xml:space="preserve">מטרת ההתקשרות </t>
  </si>
  <si>
    <r>
      <t>סכום התקשרות מצטבר מול הספק (</t>
    </r>
    <r>
      <rPr>
        <b/>
        <sz val="8"/>
        <color theme="1"/>
        <rFont val="Arial"/>
        <family val="2"/>
        <scheme val="minor"/>
      </rPr>
      <t>אם רלוונטי</t>
    </r>
    <r>
      <rPr>
        <b/>
        <sz val="11"/>
        <color theme="1"/>
        <rFont val="Arial"/>
        <family val="2"/>
        <scheme val="minor"/>
      </rPr>
      <t>)</t>
    </r>
  </si>
  <si>
    <t>יתרה מתקרת ההתקשרות</t>
  </si>
  <si>
    <r>
      <t>אושר בוועדת חריגים (</t>
    </r>
    <r>
      <rPr>
        <b/>
        <sz val="8"/>
        <color theme="1"/>
        <rFont val="Arial"/>
        <family val="2"/>
        <scheme val="minor"/>
      </rPr>
      <t>אם כן, לציין מס פנייה ותאריך אישור</t>
    </r>
    <r>
      <rPr>
        <b/>
        <sz val="11"/>
        <color theme="1"/>
        <rFont val="Arial"/>
        <family val="2"/>
        <scheme val="minor"/>
      </rPr>
      <t>)</t>
    </r>
  </si>
  <si>
    <r>
      <t>אושר בוועדת מכרזים (</t>
    </r>
    <r>
      <rPr>
        <b/>
        <sz val="8"/>
        <color theme="1"/>
        <rFont val="Arial"/>
        <family val="2"/>
        <scheme val="minor"/>
      </rPr>
      <t>אם כן, לציין תאריך דיון</t>
    </r>
    <r>
      <rPr>
        <b/>
        <sz val="11"/>
        <color theme="1"/>
        <rFont val="Arial"/>
        <family val="2"/>
        <scheme val="minor"/>
      </rPr>
      <t>)</t>
    </r>
  </si>
  <si>
    <t>נוצרה/ הוגדלה התחייבות מספר</t>
  </si>
  <si>
    <t xml:space="preserve">שווי שורה/ הגדלה </t>
  </si>
  <si>
    <t>הפרש יתרה שלא נוצלה מהחרגה</t>
  </si>
  <si>
    <t>החרגה קיימת/קודמת</t>
  </si>
  <si>
    <t>סכום להחרגה</t>
  </si>
  <si>
    <t>הוחרג בפועל</t>
  </si>
  <si>
    <t>אחזקה ושיפור מערכת בודקים</t>
  </si>
  <si>
    <t>דמי חבר בארגונים</t>
  </si>
  <si>
    <t>מערכת שירות לקוחות- הארכת התקשרות</t>
  </si>
  <si>
    <t xml:space="preserve">מיקור חוץ- שירותי מחשוב </t>
  </si>
  <si>
    <t xml:space="preserve">שירותי מידע </t>
  </si>
  <si>
    <t xml:space="preserve">שירותי תרגום </t>
  </si>
  <si>
    <t xml:space="preserve">שירותי מחשוב </t>
  </si>
  <si>
    <t>שי לפסח</t>
  </si>
  <si>
    <t>שירותי והוצאות שיווק</t>
  </si>
  <si>
    <t>הדרכת עובדים  וימי עיון</t>
  </si>
  <si>
    <t>שכירות- רבעון 2</t>
  </si>
  <si>
    <t>ביטוח אלמנטרי רשות החדשנות- 2021</t>
  </si>
  <si>
    <t>הוצאות משרדיות</t>
  </si>
  <si>
    <t xml:space="preserve">רכש מכשירים סלולאריים </t>
  </si>
  <si>
    <t xml:space="preserve">רישוי מערכת CRM </t>
  </si>
  <si>
    <t xml:space="preserve">פיתוח ויישום מערכת CRM </t>
  </si>
  <si>
    <t>23.00</t>
  </si>
  <si>
    <t>לפמ</t>
  </si>
  <si>
    <t>פעילות שיווקית עבור הרשות- 2021</t>
  </si>
  <si>
    <t>ליצ'י תרגומים</t>
  </si>
  <si>
    <t>הראל מחשבים</t>
  </si>
  <si>
    <t xml:space="preserve">מינוי דיגיטאלי עבור מחלקת אסטרטגיה </t>
  </si>
  <si>
    <t>פנייה 35092 מיום 24.03.2021</t>
  </si>
  <si>
    <t xml:space="preserve">מיקוד </t>
  </si>
  <si>
    <t>אבטחה 2021</t>
  </si>
  <si>
    <t>רדיו קול חי</t>
  </si>
  <si>
    <t>שתפ עבור שבוע היי טק החרדי</t>
  </si>
  <si>
    <t xml:space="preserve">יוסף תשובה </t>
  </si>
  <si>
    <t xml:space="preserve">פריטים ליום העצמאות </t>
  </si>
  <si>
    <t>חבר תרגומים</t>
  </si>
  <si>
    <t>בנק תרגומים</t>
  </si>
  <si>
    <t xml:space="preserve">ארטפלס </t>
  </si>
  <si>
    <t xml:space="preserve">הזמנת קפה תה וכוסות חד פעמיות </t>
  </si>
  <si>
    <t>מגה קמעונאות</t>
  </si>
  <si>
    <t>האישור ניתן ליינות ביתן אותה רכשה מגה עבור מוצרי מטבחון</t>
  </si>
  <si>
    <t>תמורות</t>
  </si>
  <si>
    <t>הערכת בודקים 2021</t>
  </si>
  <si>
    <t>18.04</t>
  </si>
  <si>
    <t>הערכת עובדים 2021</t>
  </si>
  <si>
    <t>הוספת מודול הצפנת סיסמאות במערכת הדרופל</t>
  </si>
  <si>
    <t xml:space="preserve">כהן צמח ויקטוריה </t>
  </si>
  <si>
    <t>קריינות המרכזיה לפסח</t>
  </si>
  <si>
    <t xml:space="preserve"> 232.83 </t>
  </si>
  <si>
    <t>קומפיוטרגארד</t>
  </si>
  <si>
    <t>מחזיק תג לעובדי הרשות</t>
  </si>
  <si>
    <t>תים נטקום</t>
  </si>
  <si>
    <t xml:space="preserve">החלפת מחשב לצילה </t>
  </si>
  <si>
    <t xml:space="preserve">חנה טייב </t>
  </si>
  <si>
    <t>צילומי סטילס ועריכת וידאו- בנק שעות</t>
  </si>
  <si>
    <t>רכישה של 7 מחשבים ניידים- עפי מחירון חשכל</t>
  </si>
  <si>
    <t>החלפת 15 מכשירים ניידים- עפי מחירון חשכל</t>
  </si>
  <si>
    <t>דרושים IL</t>
  </si>
  <si>
    <t>פרסום משרות דרושיםן</t>
  </si>
  <si>
    <t xml:space="preserve">מינהל הדיור </t>
  </si>
  <si>
    <t xml:space="preserve">שכירות רבעון 1+2 ל 2021 </t>
  </si>
  <si>
    <t>השתתפות בשכר דירה</t>
  </si>
  <si>
    <t>דבי משה</t>
  </si>
  <si>
    <t>הרחבת ההתקשרות</t>
  </si>
  <si>
    <t>07.04.2021</t>
  </si>
  <si>
    <t>המקויוניקיישנס</t>
  </si>
  <si>
    <t>הרחבת ההתקשרות עד יציאה למכרז</t>
  </si>
  <si>
    <t>חברת החשמל</t>
  </si>
  <si>
    <t>שלמה סיקס</t>
  </si>
  <si>
    <t>התקשרות עבור שירותי ליסינג</t>
  </si>
  <si>
    <t>שכר</t>
  </si>
  <si>
    <t>משאבים</t>
  </si>
  <si>
    <t>דולב אלקטרומכניקה טכנולוגיה והנדסה בע"מ</t>
  </si>
  <si>
    <t xml:space="preserve">בדיקת קרינה קומה 3 </t>
  </si>
  <si>
    <t>דוח החרגות לחודש: אפריל 2021</t>
  </si>
  <si>
    <t>פרסומי חודש 04/2021 בהתאם להוראות סעיף 49(ב) לחוק יסודות התקציב, תשמ"ה-1985</t>
  </si>
  <si>
    <t>שכירות מבנה, רבעונים 1+2 לשנת 2021</t>
  </si>
  <si>
    <t xml:space="preserve">רכישת ציוד מחשוב </t>
  </si>
  <si>
    <t>מערכת הערכת בודקים- הארכת התקשרות</t>
  </si>
  <si>
    <t>מערכת הערכת עובדים- הארכת התקשרות</t>
  </si>
  <si>
    <t>פרסום משרות דרושים</t>
  </si>
  <si>
    <t>פעילות רווחה</t>
  </si>
  <si>
    <t>הרחבת והארכת התקשרות עם חברת החשמל לשנת 2021</t>
  </si>
  <si>
    <t>רכישת מכשירים סלולאריים- עפי הסכם חשכ"ל</t>
  </si>
  <si>
    <t>תרגומים</t>
  </si>
  <si>
    <t>אבטחת מבנה- גטי</t>
  </si>
  <si>
    <t xml:space="preserve">עיתון הארץ מינוי דיגיאלי </t>
  </si>
  <si>
    <t>כיבוד - הארכת התקשרות לשנת 2021</t>
  </si>
  <si>
    <t>התקשרות עם חברת רכבי ליסינג</t>
  </si>
  <si>
    <t xml:space="preserve">פעילויות שיווק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</si>
</sst>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43" formatCode="_ * #,##0.00_ ;_ * \-#,##0.00_ ;_ * &quot;-&quot;??_ ;_ @_ "/>
  </numFmts>
  <fonts count="25" x14ac:knownFonts="1">
    <font>
      <sz val="11"/>
      <color theme="1"/>
      <name val="Arial"/>
      <family val="2"/>
      <charset val="177"/>
      <scheme val="minor"/>
    </font>
    <font>
      <sz val="10"/>
      <name val="Arial"/>
      <family val="2"/>
    </font>
    <font>
      <sz val="11"/>
      <color rgb="FFFF0000"/>
      <name val="Arial"/>
      <family val="2"/>
      <charset val="177"/>
      <scheme val="minor"/>
    </font>
    <font>
      <sz val="10"/>
      <color theme="1"/>
      <name val="Times New Roman"/>
      <family val="1"/>
    </font>
    <font>
      <b/>
      <sz val="11"/>
      <color rgb="FFFFFFFF"/>
      <name val="Arial"/>
      <family val="2"/>
      <scheme val="minor"/>
    </font>
    <font>
      <sz val="11"/>
      <color theme="1"/>
      <name val="David"/>
      <family val="2"/>
      <charset val="177"/>
    </font>
    <font>
      <b/>
      <sz val="12"/>
      <color rgb="FF000000"/>
      <name val="David"/>
      <family val="2"/>
      <charset val="177"/>
    </font>
    <font>
      <sz val="12"/>
      <color rgb="FF5A5A5A"/>
      <name val="David"/>
      <family val="2"/>
      <charset val="177"/>
    </font>
    <font>
      <sz val="12"/>
      <color theme="1"/>
      <name val="David"/>
      <family val="2"/>
      <charset val="177"/>
    </font>
    <font>
      <sz val="10"/>
      <color theme="1"/>
      <name val="David"/>
      <family val="2"/>
      <charset val="177"/>
    </font>
    <font>
      <sz val="8"/>
      <color theme="1"/>
      <name val="Arial"/>
      <family val="2"/>
      <charset val="177"/>
      <scheme val="minor"/>
    </font>
    <font>
      <sz val="11"/>
      <name val="David"/>
      <family val="2"/>
      <charset val="177"/>
    </font>
    <font>
      <sz val="11"/>
      <color theme="1"/>
      <name val="Arial"/>
      <family val="2"/>
      <charset val="177"/>
      <scheme val="minor"/>
    </font>
    <font>
      <sz val="10"/>
      <name val="Arial"/>
      <family val="2"/>
    </font>
    <font>
      <sz val="10"/>
      <name val="Arial"/>
      <family val="2"/>
    </font>
    <font>
      <sz val="12"/>
      <name val="David"/>
      <family val="2"/>
      <charset val="177"/>
    </font>
    <font>
      <sz val="10"/>
      <name val="Arial"/>
      <family val="2"/>
    </font>
    <font>
      <sz val="11"/>
      <color theme="1"/>
      <name val="Arial"/>
      <family val="2"/>
      <scheme val="minor"/>
    </font>
    <font>
      <sz val="10"/>
      <name val="Arial"/>
      <family val="2"/>
    </font>
    <font>
      <sz val="10"/>
      <name val="Arial"/>
      <family val="2"/>
    </font>
    <font>
      <sz val="11"/>
      <color theme="1"/>
      <name val="David"/>
      <family val="2"/>
    </font>
    <font>
      <b/>
      <sz val="11"/>
      <color theme="1"/>
      <name val="Arial"/>
      <family val="2"/>
      <scheme val="minor"/>
    </font>
    <font>
      <b/>
      <sz val="8"/>
      <color theme="1"/>
      <name val="Arial"/>
      <family val="2"/>
      <scheme val="minor"/>
    </font>
    <font>
      <b/>
      <sz val="6"/>
      <color theme="1"/>
      <name val="Arial"/>
      <family val="2"/>
      <scheme val="minor"/>
    </font>
    <font>
      <sz val="11"/>
      <color rgb="FFFF0000"/>
      <name val="Arial"/>
      <family val="2"/>
      <scheme val="minor"/>
    </font>
  </fonts>
  <fills count="4">
    <fill>
      <patternFill patternType="none"/>
    </fill>
    <fill>
      <patternFill patternType="gray125"/>
    </fill>
    <fill>
      <patternFill patternType="solid">
        <fgColor rgb="FFFFCCCC"/>
        <bgColor indexed="64"/>
      </patternFill>
    </fill>
    <fill>
      <patternFill patternType="solid">
        <fgColor rgb="FF00CC9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12">
    <xf numFmtId="0" fontId="0" fillId="0" borderId="0"/>
    <xf numFmtId="43" fontId="12" fillId="0" borderId="0" applyFont="0" applyFill="0" applyBorder="0" applyAlignment="0" applyProtection="0"/>
    <xf numFmtId="0" fontId="1" fillId="0" borderId="0"/>
    <xf numFmtId="44" fontId="12" fillId="0" borderId="0" applyFont="0" applyFill="0" applyBorder="0" applyAlignment="0" applyProtection="0"/>
    <xf numFmtId="0" fontId="13" fillId="0" borderId="0"/>
    <xf numFmtId="0" fontId="14" fillId="0" borderId="0"/>
    <xf numFmtId="43" fontId="12" fillId="0" borderId="0" applyFont="0" applyFill="0" applyBorder="0" applyAlignment="0" applyProtection="0"/>
    <xf numFmtId="0" fontId="1" fillId="0" borderId="0"/>
    <xf numFmtId="0" fontId="16" fillId="0" borderId="0"/>
    <xf numFmtId="0" fontId="18" fillId="0" borderId="0"/>
    <xf numFmtId="0" fontId="19" fillId="0" borderId="0"/>
    <xf numFmtId="9" fontId="12" fillId="0" borderId="0" applyFont="0" applyFill="0" applyBorder="0" applyAlignment="0" applyProtection="0"/>
  </cellStyleXfs>
  <cellXfs count="71">
    <xf numFmtId="0" fontId="0" fillId="0" borderId="0" xfId="0"/>
    <xf numFmtId="0" fontId="3" fillId="0" borderId="0" xfId="0" applyFont="1"/>
    <xf numFmtId="0" fontId="4" fillId="0" borderId="0" xfId="0" applyFont="1" applyAlignment="1">
      <alignment vertical="center" readingOrder="2"/>
    </xf>
    <xf numFmtId="0" fontId="5" fillId="0" borderId="0" xfId="0" applyFont="1"/>
    <xf numFmtId="0" fontId="6" fillId="0" borderId="2" xfId="0" applyFont="1" applyBorder="1" applyAlignment="1">
      <alignment horizontal="right" vertical="center" readingOrder="2"/>
    </xf>
    <xf numFmtId="0" fontId="7" fillId="0" borderId="5" xfId="0" applyFont="1" applyBorder="1" applyAlignment="1">
      <alignment vertical="center" readingOrder="2"/>
    </xf>
    <xf numFmtId="0" fontId="8" fillId="0" borderId="4" xfId="0" applyFont="1" applyBorder="1" applyAlignment="1">
      <alignment vertical="center" readingOrder="2"/>
    </xf>
    <xf numFmtId="0" fontId="8" fillId="0" borderId="5" xfId="0" applyFont="1" applyBorder="1" applyAlignment="1">
      <alignment vertical="center" readingOrder="2"/>
    </xf>
    <xf numFmtId="0" fontId="9" fillId="0" borderId="4" xfId="0" applyFont="1" applyBorder="1"/>
    <xf numFmtId="0" fontId="9" fillId="0" borderId="5" xfId="0" applyFont="1" applyBorder="1"/>
    <xf numFmtId="0" fontId="5" fillId="0" borderId="6" xfId="0" applyFont="1" applyBorder="1"/>
    <xf numFmtId="0" fontId="5" fillId="0" borderId="7" xfId="0" applyFont="1" applyBorder="1"/>
    <xf numFmtId="0" fontId="0" fillId="0" borderId="0" xfId="0" applyAlignment="1">
      <alignment horizontal="center" vertical="center"/>
    </xf>
    <xf numFmtId="0" fontId="0" fillId="0" borderId="0" xfId="0" applyAlignment="1">
      <alignment horizontal="center" vertical="center" wrapText="1"/>
    </xf>
    <xf numFmtId="0" fontId="11" fillId="0" borderId="0" xfId="0" applyFont="1"/>
    <xf numFmtId="0" fontId="5" fillId="0" borderId="0" xfId="0" applyFont="1" applyAlignment="1">
      <alignment wrapText="1"/>
    </xf>
    <xf numFmtId="43" fontId="5" fillId="0" borderId="0" xfId="1" applyFont="1"/>
    <xf numFmtId="0" fontId="2" fillId="0" borderId="0" xfId="0" applyFont="1"/>
    <xf numFmtId="0" fontId="6" fillId="0" borderId="3" xfId="0" applyFont="1" applyBorder="1" applyAlignment="1">
      <alignment horizontal="center" vertical="center" wrapText="1" readingOrder="2"/>
    </xf>
    <xf numFmtId="0" fontId="5" fillId="0" borderId="0" xfId="0" applyFont="1" applyAlignment="1">
      <alignment horizontal="right" wrapText="1" readingOrder="2"/>
    </xf>
    <xf numFmtId="0" fontId="15" fillId="0" borderId="4" xfId="0" applyFont="1" applyBorder="1" applyAlignment="1">
      <alignment vertical="center" readingOrder="2"/>
    </xf>
    <xf numFmtId="43" fontId="8" fillId="0" borderId="0" xfId="1" applyFont="1" applyFill="1" applyAlignment="1">
      <alignment wrapText="1"/>
    </xf>
    <xf numFmtId="0" fontId="0" fillId="0" borderId="0" xfId="0" applyAlignment="1">
      <alignment wrapText="1"/>
    </xf>
    <xf numFmtId="43" fontId="0" fillId="0" borderId="0" xfId="1" applyFont="1"/>
    <xf numFmtId="0" fontId="0" fillId="0" borderId="1" xfId="0" applyBorder="1" applyAlignment="1">
      <alignment wrapText="1"/>
    </xf>
    <xf numFmtId="43" fontId="0" fillId="0" borderId="0" xfId="1" applyFont="1" applyAlignment="1">
      <alignment horizontal="center" vertical="center" wrapText="1"/>
    </xf>
    <xf numFmtId="43" fontId="0" fillId="0" borderId="0" xfId="1" applyFont="1" applyAlignment="1">
      <alignment wrapText="1"/>
    </xf>
    <xf numFmtId="0" fontId="20" fillId="0" borderId="0" xfId="0" applyFont="1" applyAlignment="1">
      <alignment wrapText="1"/>
    </xf>
    <xf numFmtId="43" fontId="20" fillId="0" borderId="0" xfId="1" applyFont="1"/>
    <xf numFmtId="0" fontId="0" fillId="0" borderId="0" xfId="0" applyAlignment="1">
      <alignment horizontal="right" wrapText="1"/>
    </xf>
    <xf numFmtId="43" fontId="0" fillId="0" borderId="0" xfId="1" applyFont="1" applyAlignment="1">
      <alignment horizontal="right" wrapText="1"/>
    </xf>
    <xf numFmtId="0" fontId="0" fillId="0" borderId="8" xfId="0" applyBorder="1" applyAlignment="1">
      <alignment wrapText="1"/>
    </xf>
    <xf numFmtId="43" fontId="0" fillId="0" borderId="8" xfId="1" applyFont="1" applyBorder="1" applyAlignment="1">
      <alignment wrapText="1"/>
    </xf>
    <xf numFmtId="43" fontId="0" fillId="0" borderId="8" xfId="0" applyNumberFormat="1" applyBorder="1" applyAlignment="1">
      <alignment wrapText="1"/>
    </xf>
    <xf numFmtId="2" fontId="21" fillId="3" borderId="8" xfId="0" applyNumberFormat="1"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43" fontId="21" fillId="3" borderId="10" xfId="1" applyFont="1" applyFill="1" applyBorder="1" applyAlignment="1">
      <alignment horizontal="center" vertical="center" wrapText="1"/>
    </xf>
    <xf numFmtId="4" fontId="21" fillId="3" borderId="11" xfId="1" applyNumberFormat="1" applyFont="1" applyFill="1" applyBorder="1" applyAlignment="1">
      <alignment horizontal="center" vertical="center" wrapText="1"/>
    </xf>
    <xf numFmtId="43" fontId="23" fillId="2" borderId="0" xfId="1" applyFont="1" applyFill="1" applyAlignment="1">
      <alignment horizontal="center" vertical="center" wrapText="1"/>
    </xf>
    <xf numFmtId="9" fontId="23" fillId="2" borderId="0" xfId="11" applyFont="1" applyFill="1" applyAlignment="1">
      <alignment horizontal="center" vertical="center" wrapText="1"/>
    </xf>
    <xf numFmtId="0" fontId="21" fillId="0" borderId="0" xfId="0" applyFont="1" applyAlignment="1">
      <alignment horizontal="center" vertical="center" wrapText="1"/>
    </xf>
    <xf numFmtId="4" fontId="0" fillId="0" borderId="0" xfId="0" applyNumberFormat="1" applyAlignment="1">
      <alignment wrapText="1"/>
    </xf>
    <xf numFmtId="2" fontId="0" fillId="0" borderId="0" xfId="0" applyNumberFormat="1" applyAlignment="1">
      <alignment wrapText="1"/>
    </xf>
    <xf numFmtId="43" fontId="0" fillId="0" borderId="1" xfId="1" applyFont="1" applyBorder="1" applyAlignment="1">
      <alignment wrapText="1"/>
    </xf>
    <xf numFmtId="43" fontId="0" fillId="0" borderId="1" xfId="0" applyNumberFormat="1" applyBorder="1" applyAlignment="1">
      <alignment wrapText="1"/>
    </xf>
    <xf numFmtId="4" fontId="2" fillId="0" borderId="1" xfId="1" applyNumberFormat="1" applyFont="1" applyBorder="1" applyAlignment="1">
      <alignment wrapText="1"/>
    </xf>
    <xf numFmtId="0" fontId="2" fillId="0" borderId="1" xfId="0" applyFont="1" applyBorder="1" applyAlignment="1">
      <alignment wrapText="1"/>
    </xf>
    <xf numFmtId="43" fontId="2" fillId="0" borderId="1" xfId="1" applyFont="1" applyBorder="1" applyAlignment="1">
      <alignment wrapText="1"/>
    </xf>
    <xf numFmtId="0" fontId="2" fillId="0" borderId="0" xfId="0" applyFont="1" applyAlignment="1">
      <alignment wrapText="1"/>
    </xf>
    <xf numFmtId="0" fontId="24" fillId="0" borderId="1" xfId="0" applyFont="1" applyBorder="1" applyAlignment="1">
      <alignment wrapText="1"/>
    </xf>
    <xf numFmtId="43" fontId="24" fillId="0" borderId="1" xfId="1" applyFont="1" applyBorder="1" applyAlignment="1">
      <alignment wrapText="1"/>
    </xf>
    <xf numFmtId="43" fontId="24" fillId="0" borderId="1" xfId="0" applyNumberFormat="1" applyFont="1" applyBorder="1" applyAlignment="1">
      <alignment wrapText="1"/>
    </xf>
    <xf numFmtId="0" fontId="24" fillId="0" borderId="1" xfId="0" applyFont="1" applyBorder="1"/>
    <xf numFmtId="0" fontId="24" fillId="0" borderId="0" xfId="0" applyFont="1" applyAlignment="1">
      <alignment wrapText="1"/>
    </xf>
    <xf numFmtId="0" fontId="17" fillId="0" borderId="0" xfId="0" applyFont="1" applyAlignment="1">
      <alignment wrapText="1"/>
    </xf>
    <xf numFmtId="2" fontId="2" fillId="0" borderId="8" xfId="0" applyNumberFormat="1" applyFont="1" applyBorder="1" applyAlignment="1">
      <alignment wrapText="1"/>
    </xf>
    <xf numFmtId="0" fontId="2" fillId="0" borderId="8" xfId="0" applyFont="1" applyBorder="1" applyAlignment="1">
      <alignment wrapText="1"/>
    </xf>
    <xf numFmtId="43" fontId="2" fillId="0" borderId="8" xfId="1" applyFont="1" applyBorder="1" applyAlignment="1">
      <alignment wrapText="1"/>
    </xf>
    <xf numFmtId="43" fontId="2" fillId="0" borderId="8" xfId="0" applyNumberFormat="1" applyFont="1" applyBorder="1" applyAlignment="1">
      <alignment wrapText="1"/>
    </xf>
    <xf numFmtId="0" fontId="2" fillId="0" borderId="1" xfId="0" applyFont="1" applyBorder="1"/>
    <xf numFmtId="2" fontId="24" fillId="0" borderId="8" xfId="0" applyNumberFormat="1" applyFont="1" applyBorder="1" applyAlignment="1">
      <alignment wrapText="1"/>
    </xf>
    <xf numFmtId="0" fontId="24" fillId="0" borderId="8" xfId="0" applyFont="1" applyBorder="1" applyAlignment="1">
      <alignment wrapText="1"/>
    </xf>
    <xf numFmtId="43" fontId="24" fillId="0" borderId="8" xfId="1" applyFont="1" applyBorder="1" applyAlignment="1">
      <alignment wrapText="1"/>
    </xf>
    <xf numFmtId="43" fontId="24" fillId="0" borderId="8" xfId="0" applyNumberFormat="1" applyFont="1" applyBorder="1" applyAlignment="1">
      <alignment wrapText="1"/>
    </xf>
    <xf numFmtId="4" fontId="24" fillId="0" borderId="1" xfId="1" applyNumberFormat="1" applyFont="1" applyBorder="1" applyAlignment="1">
      <alignment wrapText="1"/>
    </xf>
    <xf numFmtId="0" fontId="24" fillId="0" borderId="0" xfId="0" applyFont="1"/>
    <xf numFmtId="0" fontId="24" fillId="0" borderId="12" xfId="0" applyFont="1" applyBorder="1" applyAlignment="1">
      <alignment wrapText="1"/>
    </xf>
    <xf numFmtId="43" fontId="24" fillId="0" borderId="12" xfId="1" applyFont="1" applyBorder="1" applyAlignment="1">
      <alignment wrapText="1"/>
    </xf>
    <xf numFmtId="0" fontId="24" fillId="0" borderId="8" xfId="0" applyFont="1" applyFill="1" applyBorder="1" applyAlignment="1">
      <alignment wrapText="1"/>
    </xf>
    <xf numFmtId="4" fontId="24" fillId="0" borderId="8" xfId="0" applyNumberFormat="1" applyFont="1" applyBorder="1" applyAlignment="1">
      <alignment wrapText="1"/>
    </xf>
  </cellXfs>
  <cellStyles count="12">
    <cellStyle name="Comma" xfId="1" builtinId="3"/>
    <cellStyle name="Comma 2" xfId="6" xr:uid="{00000000-0005-0000-0000-000001000000}"/>
    <cellStyle name="Currency 2" xfId="3" xr:uid="{00000000-0005-0000-0000-000002000000}"/>
    <cellStyle name="Normal" xfId="0" builtinId="0"/>
    <cellStyle name="Normal 2" xfId="2" xr:uid="{00000000-0005-0000-0000-000004000000}"/>
    <cellStyle name="Normal 3" xfId="4" xr:uid="{00000000-0005-0000-0000-000005000000}"/>
    <cellStyle name="Normal 3 2" xfId="7" xr:uid="{00000000-0005-0000-0000-000006000000}"/>
    <cellStyle name="Normal 4" xfId="5" xr:uid="{00000000-0005-0000-0000-000007000000}"/>
    <cellStyle name="Normal 5" xfId="8" xr:uid="{00000000-0005-0000-0000-000008000000}"/>
    <cellStyle name="Normal 6" xfId="9" xr:uid="{2F1738C3-ADEC-4A97-8EE0-663ED95AE09F}"/>
    <cellStyle name="Normal 7" xfId="10" xr:uid="{3CAFDB79-A9FD-4AD0-8C8C-80EF31E6537D}"/>
    <cellStyle name="Percent" xfId="11" builtinId="5"/>
  </cellStyles>
  <dxfs count="51">
    <dxf>
      <font>
        <b val="0"/>
        <i val="0"/>
        <strike val="0"/>
        <u val="none"/>
        <sz val="11"/>
        <color theme="1"/>
        <name val="David"/>
      </font>
    </dxf>
    <dxf>
      <font>
        <b val="0"/>
        <i val="0"/>
        <strike val="0"/>
        <condense val="0"/>
        <extend val="0"/>
        <outline val="0"/>
        <shadow val="0"/>
        <u val="none"/>
        <vertAlign val="baseline"/>
        <sz val="11"/>
        <color theme="1"/>
        <name val="David"/>
        <scheme val="none"/>
      </font>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scheme val="none"/>
      </font>
    </dxf>
    <dxf>
      <font>
        <b val="0"/>
        <i val="0"/>
        <strike val="0"/>
        <u val="none"/>
        <sz val="11"/>
        <color rgb="FFFF0000"/>
        <name val="David"/>
      </font>
    </dxf>
    <dxf>
      <alignment horizontal="center" vertical="center" textRotation="0" wrapText="0" shrinkToFit="0" readingOrder="0"/>
    </dxf>
    <dxf>
      <font>
        <b val="0"/>
        <i val="0"/>
        <strike val="0"/>
        <u val="none"/>
        <sz val="11"/>
        <color theme="1"/>
        <name val="David"/>
      </font>
    </dxf>
    <dxf>
      <font>
        <b val="0"/>
        <i val="0"/>
        <strike val="0"/>
        <condense val="0"/>
        <extend val="0"/>
        <outline val="0"/>
        <shadow val="0"/>
        <u val="none"/>
        <vertAlign val="baseline"/>
        <sz val="11"/>
        <color theme="1"/>
        <name val="David"/>
        <scheme val="none"/>
      </font>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scheme val="none"/>
      </font>
    </dxf>
    <dxf>
      <font>
        <b val="0"/>
        <i val="0"/>
        <strike val="0"/>
        <u val="none"/>
        <sz val="11"/>
        <color rgb="FFFF0000"/>
        <name val="David"/>
      </font>
    </dxf>
    <dxf>
      <alignment horizontal="center" vertical="center" textRotation="0" wrapText="0" shrinkToFit="0" readingOrder="0"/>
    </dxf>
    <dxf>
      <alignment horizontal="center" vertical="center" textRotation="0" wrapText="1" indent="0" justifyLastLine="0" shrinkToFit="0" readingOrder="0"/>
    </dxf>
    <dxf>
      <font>
        <strike val="0"/>
        <outline val="0"/>
        <shadow val="0"/>
        <u val="none"/>
        <vertAlign val="baseline"/>
        <sz val="11"/>
        <color rgb="FFFF0000"/>
        <name val="Arial"/>
        <family val="2"/>
        <scheme val="minor"/>
      </font>
      <numFmt numFmtId="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4" formatCode="#,##0.00"/>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FF0000"/>
        <name val="Arial"/>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rgb="FFFF0000"/>
        <name val="Arial"/>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rgb="FFFF0000"/>
        <name val="Arial"/>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textRotation="0" wrapText="1" indent="0" justifyLastLine="0" shrinkToFi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rgb="FFFF0000"/>
        <name val="Arial"/>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textRotation="0" wrapText="1" indent="0" justifyLastLine="0" shrinkToFi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rgb="FFFF0000"/>
        <name val="Arial"/>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textRotation="0" wrapText="1" indent="0" justifyLastLine="0" shrinkToFi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rgb="FFFF0000"/>
        <name val="Arial"/>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textRotation="0" wrapText="1" indent="0" justifyLastLine="0" shrinkToFit="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rgb="FFFF0000"/>
        <name val="Arial"/>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rgb="FFFF0000"/>
        <name val="Arial"/>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rgb="FFFF0000"/>
        <name val="Arial"/>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FF0000"/>
        <name val="Arial"/>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textRotation="0" wrapText="1"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FF0000"/>
        <name val="Arial"/>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11"/>
        <color rgb="FFFF0000"/>
        <name val="Arial"/>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11"/>
        <color rgb="FFFF0000"/>
        <name val="Arial"/>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11"/>
        <color rgb="FFFF0000"/>
        <name val="Arial"/>
        <family val="2"/>
        <scheme val="minor"/>
      </font>
      <numFmt numFmtId="2"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thin">
          <color indexed="64"/>
        </top>
      </border>
    </dxf>
    <dxf>
      <font>
        <strike val="0"/>
        <outline val="0"/>
        <shadow val="0"/>
        <u val="none"/>
        <vertAlign val="baseline"/>
        <sz val="11"/>
        <color rgb="FFFF0000"/>
        <name val="Arial"/>
        <family val="2"/>
        <scheme val="minor"/>
      </font>
    </dxf>
    <dxf>
      <alignment textRotation="0" wrapText="1" indent="0" justifyLastLine="0" shrinkToFit="0"/>
    </dxf>
    <dxf>
      <font>
        <b/>
        <i val="0"/>
        <strike val="0"/>
        <condense val="0"/>
        <extend val="0"/>
        <outline val="0"/>
        <shadow val="0"/>
        <u val="none"/>
        <vertAlign val="baseline"/>
        <sz val="11"/>
        <color theme="1"/>
        <name val="Arial"/>
        <scheme val="minor"/>
      </font>
      <fill>
        <patternFill patternType="solid">
          <fgColor indexed="64"/>
          <bgColor rgb="FF00CC9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ira.v/Documents/&#1514;&#1511;&#1510;&#1497;&#1489;/&#1511;&#1493;&#1489;&#1509;%20&#1492;&#1495;&#1512;&#1490;&#1493;&#1514;%202021-%20&#1508;&#1489;&#1512;&#1493;&#1488;&#1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ra.v/Documents/&#1492;&#1502;&#1506;&#1512;&#1498;%20&#1492;&#1496;&#1499;&#1504;&#1493;&#1500;&#1493;&#1490;&#1497;/&#1502;&#1506;&#1511;&#1489;%20&#1508;&#1506;&#1497;&#1500;&#1493;&#1514;%20&#1489;&#1493;&#1491;&#1511;&#1497;&#1501;%20&#1496;&#1499;&#1504;&#1493;&#1500;&#1493;&#1490;&#1497;&#1497;&#1501;_22.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s>
    <sheetDataSet>
      <sheetData sheetId="0">
        <row r="45">
          <cell r="N45">
            <v>2949415.3800000004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שובי יתרה"/>
      <sheetName val="איסרד"/>
      <sheetName val="דוח 305"/>
      <sheetName val="דוח 103"/>
      <sheetName val="זוכי 2017"/>
      <sheetName val="זוכי 2019"/>
      <sheetName val="Excel1"/>
      <sheetName val="Excel2"/>
      <sheetName val="מכרז 04.2020"/>
      <sheetName val="מימושי אופציה יולי- 2020"/>
      <sheetName val="גיליון1"/>
      <sheetName val="גיליון1 (2)"/>
      <sheetName val="מימושי אופציה 02-21"/>
      <sheetName val="מימושי אופציה 03-21"/>
      <sheetName val="מימושי אופציה 04-21"/>
    </sheetNames>
    <sheetDataSet>
      <sheetData sheetId="0">
        <row r="21">
          <cell r="D21">
            <v>5630872.7412999999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62ACBA-0CEA-43E6-A062-9D56BF47E0A8}" name="Table1" displayName="Table1" ref="A1:O28" totalsRowCount="1" headerRowDxfId="50" dataDxfId="49" totalsRowDxfId="48" totalsRowBorderDxfId="47" headerRowCellStyle="Comma">
  <autoFilter ref="A1:O27" xr:uid="{00000000-0009-0000-0100-000001000000}">
    <filterColumn colId="8">
      <filters>
        <filter val="38300191"/>
      </filters>
    </filterColumn>
    <filterColumn colId="10">
      <filters>
        <filter val="36901024"/>
      </filters>
    </filterColumn>
  </autoFilter>
  <tableColumns count="15">
    <tableColumn id="1" xr3:uid="{3CB35F64-4895-4E43-A017-CD430BFD0AAC}" name="23.00" dataDxfId="46" totalsRowDxfId="45"/>
    <tableColumn id="2" xr3:uid="{E0EF0061-9D6E-4EA0-951A-543A78971054}" name="שם הספק " dataDxfId="44" totalsRowDxfId="43"/>
    <tableColumn id="3" xr3:uid="{B9494E87-B48A-45EB-BFE4-02C4CE5A79ED}" name="מטרת ההתקשרות " dataDxfId="42" totalsRowDxfId="41"/>
    <tableColumn id="4" xr3:uid="{AE2BF67C-A96D-48C8-81E4-15985CF61F94}" name="סכום מבוקש בש&quot;ח כולל מעמ!!" dataDxfId="40" totalsRowDxfId="39" dataCellStyle="Comma" totalsRowCellStyle="Comma">
      <calculatedColumnFormula>4149.66*4.1</calculatedColumnFormula>
    </tableColumn>
    <tableColumn id="5" xr3:uid="{0D975C3F-2880-4EE3-BB57-E775998ACF5D}" name="סכום התקשרות מצטבר מול הספק (אם רלוונטי)" dataDxfId="38" totalsRowDxfId="37" dataCellStyle="Comma" totalsRowCellStyle="Comma"/>
    <tableColumn id="6" xr3:uid="{5DFC74E0-289F-44A7-B747-6D26434BF84E}" name="יתרה מתקרת ההתקשרות" dataDxfId="36" totalsRowDxfId="35">
      <calculatedColumnFormula>$P$1-E2</calculatedColumnFormula>
    </tableColumn>
    <tableColumn id="7" xr3:uid="{8C752036-2A0B-4CE3-9EE1-1EFDEC1BDD08}" name="אושר בוועדת חריגים (אם כן, לציין מס פנייה ותאריך אישור)" dataDxfId="34" totalsRowDxfId="33"/>
    <tableColumn id="8" xr3:uid="{42CB213B-9B58-46B5-A4C3-E7AC44F545E6}" name="אושר בוועדת מכרזים (אם כן, לציין תאריך דיון)" dataDxfId="32" totalsRowDxfId="31"/>
    <tableColumn id="9" xr3:uid="{C5A2CEF8-45CD-4DC3-8CEB-BA3719BB839E}" name="תקנה/ פריט התחייבות" dataDxfId="30" totalsRowDxfId="29"/>
    <tableColumn id="10" xr3:uid="{E8696322-7DB9-4E4F-8FEC-CCFC7C1E0DED}" name="שם תקנה" dataDxfId="28" totalsRowDxfId="27"/>
    <tableColumn id="11" xr3:uid="{990FCFAF-4B96-49B6-9ABC-1EC26E0D458A}" name="מרכז קרנות" dataDxfId="26" totalsRowDxfId="25"/>
    <tableColumn id="12" xr3:uid="{D2685F56-9559-4BCB-9C42-E1783937F29B}" name="שם מרכז קרנות" dataDxfId="24" totalsRowDxfId="23"/>
    <tableColumn id="16" xr3:uid="{47B6589E-02A1-4CBF-8185-5C0BFBF8E50F}" name="נוצרה/ הוגדלה התחייבות מספר" dataDxfId="22" totalsRowDxfId="21"/>
    <tableColumn id="17" xr3:uid="{E8C11108-0D61-45B2-B9EC-2B58AB4CBE93}" name="שווי שורה/ הגדלה " totalsRowFunction="sum" dataDxfId="20" totalsRowDxfId="19" dataCellStyle="Comma" totalsRowCellStyle="Comma"/>
    <tableColumn id="18" xr3:uid="{357D6823-DA9C-4E5F-9140-B02D30CFCD74}" name="הפרש יתרה שלא נוצלה מהחרגה" dataDxfId="18" totalsRowDxfId="17">
      <calculatedColumnFormula>Table1[[#This Row],[סכום התקשרות מצטבר מול הספק (אם רלוונטי)]]-Table1[[#This Row],[שווי שורה/ הגדלה ]]</calculatedColumnFormula>
    </tableColumn>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63997C-1800-4050-9F9D-7CBEFDD21CB6}" name="טבלה3" displayName="טבלה3" ref="A1:J11" totalsRowShown="0" headerRowDxfId="16">
  <autoFilter ref="A1:J11" xr:uid="{9A2FD62C-836E-458A-8FF1-BA29131AD9D4}"/>
  <tableColumns count="10">
    <tableColumn id="1" xr3:uid="{82D8F812-B5E9-4163-8386-9DA2619627C8}" name="מספר"/>
    <tableColumn id="2" xr3:uid="{49BD07CB-94CB-4E13-B2F4-74B9B88151E8}" name="תאריך פנייה"/>
    <tableColumn id="3" xr3:uid="{1CEE62B0-5CD1-404C-8949-848BAF808EA2}" name="נושא"/>
    <tableColumn id="4" xr3:uid="{114C1525-D26B-479A-B92D-017017D16B54}" name="סכום מבוקש" dataCellStyle="Comma"/>
    <tableColumn id="5" xr3:uid="{AA82840C-118D-43D3-9302-688B3856BD78}" name="סטטוס"/>
    <tableColumn id="6" xr3:uid="{D1CAD0BA-9E84-4611-9676-1F3EE1505C6C}" name="סכום מאושר" dataCellStyle="Comma"/>
    <tableColumn id="7" xr3:uid="{888F0346-9737-44CF-A7D8-06C9EFD501F2}" name="הפרש" dataCellStyle="Comma">
      <calculatedColumnFormula>טבלה3[[#This Row],[סכום מבוקש]]-טבלה3[[#This Row],[סכום מאושר]]</calculatedColumnFormula>
    </tableColumn>
    <tableColumn id="8" xr3:uid="{280BFF2C-C252-41CB-9CD0-42ED7D238A91}" name="הערות" dataCellStyle="Comma"/>
    <tableColumn id="9" xr3:uid="{CEA58151-C723-43AC-A3B0-C644424C91EA}" name="ניצול מתוך הפנייה " dataCellStyle="Comma"/>
    <tableColumn id="10" xr3:uid="{A779EE34-98C6-4FCF-97AD-74492996CA27}" name="יתרה לניצול " dataCellStyle="Comma">
      <calculatedColumnFormula>טבלה3[[#This Row],[סכום מאושר]]-טבלה3[[#This Row],[ניצול מתוך הפנייה ]]</calculatedColumnFormula>
    </tableColumn>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440526-B9AB-46F6-ACCD-5131F6BBFE5D}" name="Table133232323524" displayName="Table133232323524" ref="A7:D25" totalsRowShown="0" headerRowDxfId="15">
  <autoFilter ref="A7:D25" xr:uid="{00000000-0009-0000-0100-000001000000}"/>
  <sortState xmlns:xlrd2="http://schemas.microsoft.com/office/spreadsheetml/2017/richdata2" ref="A8:D25">
    <sortCondition ref="D7:D25"/>
  </sortState>
  <tableColumns count="4">
    <tableColumn id="1" xr3:uid="{CEE9DF5E-6710-4864-B855-648B722090D8}" name="מס" dataDxfId="14" totalsRowDxfId="13"/>
    <tableColumn id="2" xr3:uid="{54326CE5-6FEA-4A6B-A91A-2DFB98BE6142}" name="ספק" dataDxfId="12" totalsRowDxfId="11"/>
    <tableColumn id="3" xr3:uid="{CE8285AB-A539-49F6-A434-309672B5002C}" name="נושא ההתקשרות" dataDxfId="10" totalsRowDxfId="9"/>
    <tableColumn id="4" xr3:uid="{6ECB58C1-5496-44A2-A8A2-EF77B0AAC9FA}" name="סכום ההתקשרות (סכום ההתקשרות ולא סכום המזומן)" dataDxfId="8"/>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D3E4F3-6EB0-4FFE-9132-525414633BA8}" name="Table1332323235242" displayName="Table1332323235242" ref="A7:D23" totalsRowShown="0" headerRowDxfId="7">
  <autoFilter ref="A7:D23" xr:uid="{00000000-0009-0000-0100-000001000000}"/>
  <sortState xmlns:xlrd2="http://schemas.microsoft.com/office/spreadsheetml/2017/richdata2" ref="A8:D23">
    <sortCondition ref="D7:D23"/>
  </sortState>
  <tableColumns count="4">
    <tableColumn id="1" xr3:uid="{D7FB13DF-1851-4D03-BB43-7FC57FBFFD7D}" name="מס" dataDxfId="6" totalsRowDxfId="5"/>
    <tableColumn id="2" xr3:uid="{3C3D2B91-CA30-4117-9B1B-ADE96839F138}" name="ספק" dataDxfId="4" totalsRowDxfId="3"/>
    <tableColumn id="3" xr3:uid="{D2C05CEB-027F-4AE4-9092-2FEEAFF4F162}" name="נושא ההתקשרות" dataDxfId="2" totalsRowDxfId="1"/>
    <tableColumn id="4" xr3:uid="{B9F34B31-FCE3-4D8A-AAD6-1188FF8541E3}" name="סכום ההתקשרות (סכום ההתקשרות ולא סכום המזומן)"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BB60-0788-411A-A865-B6DC3405723E}">
  <dimension ref="A1:T28"/>
  <sheetViews>
    <sheetView rightToLeft="1" zoomScale="80" zoomScaleNormal="80" workbookViewId="0">
      <pane ySplit="1" topLeftCell="A2" activePane="bottomLeft" state="frozen"/>
      <selection pane="bottomLeft" activeCell="A2" sqref="A2:XFD2"/>
    </sheetView>
  </sheetViews>
  <sheetFormatPr defaultColWidth="9" defaultRowHeight="14.25" x14ac:dyDescent="0.2"/>
  <cols>
    <col min="1" max="1" width="6.875" style="43" customWidth="1"/>
    <col min="2" max="2" width="22.5" style="22" customWidth="1"/>
    <col min="3" max="3" width="31.5" style="22" customWidth="1"/>
    <col min="4" max="4" width="15.75" style="26" customWidth="1"/>
    <col min="5" max="5" width="15.125" style="26" hidden="1" customWidth="1"/>
    <col min="6" max="6" width="12.625" style="22" hidden="1" customWidth="1"/>
    <col min="7" max="7" width="16.25" style="22" hidden="1" customWidth="1"/>
    <col min="8" max="8" width="18.75" style="22" hidden="1" customWidth="1"/>
    <col min="9" max="12" width="18.75" style="22" customWidth="1"/>
    <col min="13" max="13" width="21.125" style="22" bestFit="1" customWidth="1"/>
    <col min="14" max="14" width="14" style="26" bestFit="1" customWidth="1"/>
    <col min="15" max="15" width="18" style="42" bestFit="1" customWidth="1"/>
    <col min="16" max="16" width="8.625" style="22" customWidth="1"/>
    <col min="17" max="17" width="9" style="22"/>
    <col min="18" max="19" width="13.5" style="22" hidden="1" customWidth="1"/>
    <col min="20" max="20" width="11.375" style="22" hidden="1" customWidth="1"/>
    <col min="21" max="16384" width="9" style="22"/>
  </cols>
  <sheetData>
    <row r="1" spans="1:20" s="41" customFormat="1" ht="45" x14ac:dyDescent="0.2">
      <c r="A1" s="34" t="s">
        <v>89</v>
      </c>
      <c r="B1" s="35" t="s">
        <v>6</v>
      </c>
      <c r="C1" s="36" t="s">
        <v>62</v>
      </c>
      <c r="D1" s="37" t="s">
        <v>7</v>
      </c>
      <c r="E1" s="37" t="s">
        <v>63</v>
      </c>
      <c r="F1" s="36" t="s">
        <v>64</v>
      </c>
      <c r="G1" s="36" t="s">
        <v>65</v>
      </c>
      <c r="H1" s="36" t="s">
        <v>66</v>
      </c>
      <c r="I1" s="36" t="s">
        <v>8</v>
      </c>
      <c r="J1" s="36" t="s">
        <v>9</v>
      </c>
      <c r="K1" s="36" t="s">
        <v>10</v>
      </c>
      <c r="L1" s="36" t="s">
        <v>11</v>
      </c>
      <c r="M1" s="36" t="s">
        <v>67</v>
      </c>
      <c r="N1" s="37" t="s">
        <v>68</v>
      </c>
      <c r="O1" s="38" t="s">
        <v>69</v>
      </c>
      <c r="P1" s="39">
        <v>200000</v>
      </c>
      <c r="Q1" s="40">
        <v>0.17</v>
      </c>
      <c r="R1" s="41" t="s">
        <v>70</v>
      </c>
      <c r="S1" s="41" t="s">
        <v>71</v>
      </c>
      <c r="T1" s="41" t="s">
        <v>72</v>
      </c>
    </row>
    <row r="2" spans="1:20" s="54" customFormat="1" x14ac:dyDescent="0.2">
      <c r="A2" s="61">
        <v>5.04</v>
      </c>
      <c r="B2" s="62" t="s">
        <v>61</v>
      </c>
      <c r="C2" s="62" t="s">
        <v>94</v>
      </c>
      <c r="D2" s="63">
        <v>660</v>
      </c>
      <c r="E2" s="32"/>
      <c r="F2" s="33">
        <f t="shared" ref="F2:F13" si="0">$P$1-E2</f>
        <v>200000</v>
      </c>
      <c r="G2" s="31"/>
      <c r="H2" s="31"/>
      <c r="I2" s="53">
        <v>38300191</v>
      </c>
      <c r="J2" s="53" t="s">
        <v>12</v>
      </c>
      <c r="K2" s="53">
        <v>36901024</v>
      </c>
      <c r="L2" s="53" t="s">
        <v>13</v>
      </c>
      <c r="M2" s="62">
        <v>4502015914</v>
      </c>
      <c r="N2" s="63">
        <v>660</v>
      </c>
      <c r="O2" s="65">
        <f t="shared" ref="O2:O27" si="1">D2-N2</f>
        <v>0</v>
      </c>
      <c r="R2" s="22"/>
      <c r="S2" s="22"/>
      <c r="T2" s="22"/>
    </row>
    <row r="3" spans="1:20" s="54" customFormat="1" ht="28.5" hidden="1" x14ac:dyDescent="0.2">
      <c r="A3" s="61">
        <v>5.04</v>
      </c>
      <c r="B3" s="62" t="s">
        <v>90</v>
      </c>
      <c r="C3" s="62" t="s">
        <v>91</v>
      </c>
      <c r="D3" s="63">
        <v>1000000</v>
      </c>
      <c r="E3" s="63"/>
      <c r="F3" s="64">
        <f t="shared" si="0"/>
        <v>200000</v>
      </c>
      <c r="G3" s="62" t="s">
        <v>95</v>
      </c>
      <c r="H3" s="62"/>
      <c r="I3" s="50">
        <v>38300191</v>
      </c>
      <c r="J3" s="50" t="s">
        <v>12</v>
      </c>
      <c r="K3" s="50">
        <v>3690112</v>
      </c>
      <c r="L3" s="50" t="s">
        <v>23</v>
      </c>
      <c r="M3" s="62">
        <v>4501692444</v>
      </c>
      <c r="N3" s="63">
        <v>1000000</v>
      </c>
      <c r="O3" s="65">
        <f t="shared" si="1"/>
        <v>0</v>
      </c>
      <c r="R3" s="22"/>
      <c r="S3" s="22"/>
      <c r="T3" s="22"/>
    </row>
    <row r="4" spans="1:20" s="54" customFormat="1" x14ac:dyDescent="0.2">
      <c r="A4" s="61">
        <v>8.0399999999999991</v>
      </c>
      <c r="B4" s="62" t="s">
        <v>96</v>
      </c>
      <c r="C4" s="62" t="s">
        <v>97</v>
      </c>
      <c r="D4" s="63">
        <v>5850</v>
      </c>
      <c r="E4" s="32"/>
      <c r="F4" s="33">
        <f t="shared" si="0"/>
        <v>200000</v>
      </c>
      <c r="G4" s="31"/>
      <c r="H4" s="31"/>
      <c r="I4" s="53">
        <v>38300191</v>
      </c>
      <c r="J4" s="53" t="s">
        <v>12</v>
      </c>
      <c r="K4" s="53">
        <v>36901024</v>
      </c>
      <c r="L4" s="53" t="s">
        <v>13</v>
      </c>
      <c r="M4" s="62">
        <v>4502018426</v>
      </c>
      <c r="N4" s="63">
        <v>5850</v>
      </c>
      <c r="O4" s="65">
        <f t="shared" si="1"/>
        <v>0</v>
      </c>
      <c r="R4" s="22"/>
      <c r="S4" s="22"/>
      <c r="T4" s="22"/>
    </row>
    <row r="5" spans="1:20" s="54" customFormat="1" hidden="1" x14ac:dyDescent="0.2">
      <c r="A5" s="61">
        <v>8.0399999999999991</v>
      </c>
      <c r="B5" s="62" t="s">
        <v>98</v>
      </c>
      <c r="C5" s="62" t="s">
        <v>99</v>
      </c>
      <c r="D5" s="63">
        <f>10000*1.17</f>
        <v>11700</v>
      </c>
      <c r="E5" s="63"/>
      <c r="F5" s="64">
        <f t="shared" si="0"/>
        <v>200000</v>
      </c>
      <c r="G5" s="62"/>
      <c r="H5" s="62"/>
      <c r="I5" s="50">
        <v>38300191</v>
      </c>
      <c r="J5" s="50" t="s">
        <v>12</v>
      </c>
      <c r="K5" s="50">
        <v>3690112</v>
      </c>
      <c r="L5" s="50" t="s">
        <v>23</v>
      </c>
      <c r="M5" s="62">
        <v>4502019189</v>
      </c>
      <c r="N5" s="63">
        <v>11700</v>
      </c>
      <c r="O5" s="65">
        <f t="shared" si="1"/>
        <v>0</v>
      </c>
      <c r="R5" s="22"/>
      <c r="S5" s="22"/>
      <c r="T5" s="22"/>
    </row>
    <row r="6" spans="1:20" s="54" customFormat="1" hidden="1" x14ac:dyDescent="0.2">
      <c r="A6" s="61">
        <v>8.0399999999999991</v>
      </c>
      <c r="B6" s="62" t="s">
        <v>100</v>
      </c>
      <c r="C6" s="62" t="s">
        <v>101</v>
      </c>
      <c r="D6" s="63">
        <f>(30*165)*1.17</f>
        <v>5791.5</v>
      </c>
      <c r="E6" s="63"/>
      <c r="F6" s="64">
        <f t="shared" si="0"/>
        <v>200000</v>
      </c>
      <c r="G6" s="62"/>
      <c r="H6" s="62"/>
      <c r="I6" s="50">
        <v>38300191</v>
      </c>
      <c r="J6" s="50" t="s">
        <v>12</v>
      </c>
      <c r="K6" s="50">
        <v>36901022</v>
      </c>
      <c r="L6" s="50" t="s">
        <v>16</v>
      </c>
      <c r="M6" s="62">
        <v>4502019207</v>
      </c>
      <c r="N6" s="63">
        <v>6142.5</v>
      </c>
      <c r="O6" s="65">
        <f t="shared" si="1"/>
        <v>-351</v>
      </c>
      <c r="R6" s="22"/>
      <c r="S6" s="22"/>
      <c r="T6" s="22"/>
    </row>
    <row r="7" spans="1:20" s="54" customFormat="1" x14ac:dyDescent="0.2">
      <c r="A7" s="61">
        <v>12.04</v>
      </c>
      <c r="B7" s="62" t="s">
        <v>102</v>
      </c>
      <c r="C7" s="62" t="s">
        <v>103</v>
      </c>
      <c r="D7" s="63">
        <v>5000</v>
      </c>
      <c r="E7" s="32"/>
      <c r="F7" s="33">
        <f t="shared" si="0"/>
        <v>200000</v>
      </c>
      <c r="G7" s="31"/>
      <c r="H7" s="31"/>
      <c r="I7" s="53">
        <v>38300191</v>
      </c>
      <c r="J7" s="53" t="s">
        <v>12</v>
      </c>
      <c r="K7" s="53">
        <v>36901024</v>
      </c>
      <c r="L7" s="53" t="s">
        <v>13</v>
      </c>
      <c r="M7" s="62">
        <v>4502020238</v>
      </c>
      <c r="N7" s="63">
        <v>5000</v>
      </c>
      <c r="O7" s="65">
        <f t="shared" si="1"/>
        <v>0</v>
      </c>
      <c r="R7" s="22"/>
      <c r="S7" s="22"/>
      <c r="T7" s="22"/>
    </row>
    <row r="8" spans="1:20" s="54" customFormat="1" x14ac:dyDescent="0.2">
      <c r="A8" s="61">
        <v>12.04</v>
      </c>
      <c r="B8" s="62" t="s">
        <v>92</v>
      </c>
      <c r="C8" s="62" t="s">
        <v>103</v>
      </c>
      <c r="D8" s="63">
        <v>5000</v>
      </c>
      <c r="E8" s="32"/>
      <c r="F8" s="33">
        <f t="shared" si="0"/>
        <v>200000</v>
      </c>
      <c r="G8" s="31"/>
      <c r="H8" s="31"/>
      <c r="I8" s="53">
        <v>38300191</v>
      </c>
      <c r="J8" s="53" t="s">
        <v>12</v>
      </c>
      <c r="K8" s="53">
        <v>36901024</v>
      </c>
      <c r="L8" s="53" t="s">
        <v>13</v>
      </c>
      <c r="M8" s="62">
        <v>4502020034</v>
      </c>
      <c r="N8" s="63">
        <v>5000</v>
      </c>
      <c r="O8" s="65">
        <f t="shared" si="1"/>
        <v>0</v>
      </c>
      <c r="R8" s="22"/>
      <c r="S8" s="22"/>
      <c r="T8" s="22"/>
    </row>
    <row r="9" spans="1:20" s="54" customFormat="1" x14ac:dyDescent="0.2">
      <c r="A9" s="61">
        <v>12.04</v>
      </c>
      <c r="B9" s="62" t="s">
        <v>104</v>
      </c>
      <c r="C9" s="62" t="s">
        <v>105</v>
      </c>
      <c r="D9" s="63">
        <f>6000*1.17</f>
        <v>7020</v>
      </c>
      <c r="E9" s="32"/>
      <c r="F9" s="33">
        <f t="shared" si="0"/>
        <v>200000</v>
      </c>
      <c r="G9" s="31"/>
      <c r="H9" s="31"/>
      <c r="I9" s="53">
        <v>38300191</v>
      </c>
      <c r="J9" s="53" t="s">
        <v>12</v>
      </c>
      <c r="K9" s="53">
        <v>36901024</v>
      </c>
      <c r="L9" s="53" t="s">
        <v>13</v>
      </c>
      <c r="M9" s="62">
        <v>4502020067</v>
      </c>
      <c r="N9" s="63">
        <v>7020</v>
      </c>
      <c r="O9" s="65">
        <f t="shared" si="1"/>
        <v>0</v>
      </c>
      <c r="R9" s="22"/>
      <c r="S9" s="22"/>
      <c r="T9" s="22"/>
    </row>
    <row r="10" spans="1:20" s="54" customFormat="1" ht="28.5" x14ac:dyDescent="0.2">
      <c r="A10" s="61">
        <v>13.04</v>
      </c>
      <c r="B10" s="62" t="s">
        <v>106</v>
      </c>
      <c r="C10" s="62" t="s">
        <v>107</v>
      </c>
      <c r="D10" s="63">
        <f>200000*1.17</f>
        <v>234000</v>
      </c>
      <c r="E10" s="32"/>
      <c r="F10" s="33">
        <f t="shared" si="0"/>
        <v>200000</v>
      </c>
      <c r="G10" s="31"/>
      <c r="H10" s="31" t="s">
        <v>60</v>
      </c>
      <c r="I10" s="53">
        <v>38300191</v>
      </c>
      <c r="J10" s="53" t="s">
        <v>12</v>
      </c>
      <c r="K10" s="53">
        <v>36901024</v>
      </c>
      <c r="L10" s="53" t="s">
        <v>13</v>
      </c>
      <c r="M10" s="62">
        <v>4502020524</v>
      </c>
      <c r="N10" s="63">
        <v>113600</v>
      </c>
      <c r="O10" s="65">
        <f t="shared" si="1"/>
        <v>120400</v>
      </c>
      <c r="R10" s="22"/>
      <c r="S10" s="22"/>
      <c r="T10" s="22"/>
    </row>
    <row r="11" spans="1:20" s="54" customFormat="1" hidden="1" x14ac:dyDescent="0.2">
      <c r="A11" s="61">
        <v>18.04</v>
      </c>
      <c r="B11" s="62" t="s">
        <v>108</v>
      </c>
      <c r="C11" s="62" t="s">
        <v>109</v>
      </c>
      <c r="D11" s="63">
        <f>13612*1.17</f>
        <v>15926.039999999999</v>
      </c>
      <c r="E11" s="63"/>
      <c r="F11" s="64">
        <f t="shared" si="0"/>
        <v>200000</v>
      </c>
      <c r="G11" s="62"/>
      <c r="H11" s="62" t="s">
        <v>42</v>
      </c>
      <c r="I11" s="53">
        <v>38300121</v>
      </c>
      <c r="J11" s="53" t="s">
        <v>24</v>
      </c>
      <c r="K11" s="53">
        <v>3690103</v>
      </c>
      <c r="L11" s="53" t="s">
        <v>25</v>
      </c>
      <c r="M11" s="62">
        <v>4502021194</v>
      </c>
      <c r="N11" s="63">
        <v>16040.7</v>
      </c>
      <c r="O11" s="65">
        <f t="shared" si="1"/>
        <v>-114.66000000000167</v>
      </c>
      <c r="R11" s="22"/>
      <c r="S11" s="22"/>
      <c r="T11" s="22"/>
    </row>
    <row r="12" spans="1:20" s="54" customFormat="1" hidden="1" x14ac:dyDescent="0.2">
      <c r="A12" s="61" t="s">
        <v>110</v>
      </c>
      <c r="B12" s="62" t="s">
        <v>108</v>
      </c>
      <c r="C12" s="62" t="s">
        <v>111</v>
      </c>
      <c r="D12" s="64">
        <f>28710*1.17</f>
        <v>33590.699999999997</v>
      </c>
      <c r="E12" s="51"/>
      <c r="F12" s="52">
        <f t="shared" si="0"/>
        <v>200000</v>
      </c>
      <c r="G12" s="50"/>
      <c r="H12" s="50" t="s">
        <v>42</v>
      </c>
      <c r="I12" s="50">
        <v>38300191</v>
      </c>
      <c r="J12" s="50" t="s">
        <v>12</v>
      </c>
      <c r="K12" s="50">
        <v>36901022</v>
      </c>
      <c r="L12" s="50" t="s">
        <v>16</v>
      </c>
      <c r="M12" s="50">
        <v>4502021200</v>
      </c>
      <c r="N12" s="51">
        <v>33590.699999999997</v>
      </c>
      <c r="O12" s="65">
        <f t="shared" si="1"/>
        <v>0</v>
      </c>
      <c r="R12" s="55"/>
      <c r="S12" s="55"/>
      <c r="T12" s="55"/>
    </row>
    <row r="13" spans="1:20" s="54" customFormat="1" ht="28.5" hidden="1" x14ac:dyDescent="0.2">
      <c r="A13" s="61">
        <v>19.04</v>
      </c>
      <c r="B13" s="62" t="s">
        <v>59</v>
      </c>
      <c r="C13" s="50" t="s">
        <v>112</v>
      </c>
      <c r="D13" s="51">
        <f>1837*1.17</f>
        <v>2149.29</v>
      </c>
      <c r="E13" s="51"/>
      <c r="F13" s="52">
        <f t="shared" si="0"/>
        <v>200000</v>
      </c>
      <c r="G13" s="50"/>
      <c r="H13" s="50"/>
      <c r="I13" s="50">
        <v>38300191</v>
      </c>
      <c r="J13" s="50" t="s">
        <v>12</v>
      </c>
      <c r="K13" s="50">
        <v>36901021</v>
      </c>
      <c r="L13" s="50" t="s">
        <v>15</v>
      </c>
      <c r="M13" s="50">
        <v>4502022771</v>
      </c>
      <c r="N13" s="51">
        <v>2149.29</v>
      </c>
      <c r="O13" s="65">
        <f t="shared" si="1"/>
        <v>0</v>
      </c>
      <c r="R13" s="22"/>
      <c r="S13" s="22"/>
      <c r="T13" s="22"/>
    </row>
    <row r="14" spans="1:20" s="54" customFormat="1" x14ac:dyDescent="0.2">
      <c r="A14" s="61">
        <v>19.04</v>
      </c>
      <c r="B14" s="62" t="s">
        <v>113</v>
      </c>
      <c r="C14" s="50" t="s">
        <v>114</v>
      </c>
      <c r="D14" s="52" t="s">
        <v>115</v>
      </c>
      <c r="E14" s="45"/>
      <c r="F14" s="45"/>
      <c r="G14" s="24"/>
      <c r="H14" s="24"/>
      <c r="I14" s="53">
        <v>38300191</v>
      </c>
      <c r="J14" s="53" t="s">
        <v>12</v>
      </c>
      <c r="K14" s="53">
        <v>36901024</v>
      </c>
      <c r="L14" s="53" t="s">
        <v>13</v>
      </c>
      <c r="M14" s="50">
        <v>4502017643</v>
      </c>
      <c r="N14" s="51">
        <v>232.83</v>
      </c>
      <c r="O14" s="65">
        <f t="shared" si="1"/>
        <v>0</v>
      </c>
      <c r="R14" s="22"/>
      <c r="S14" s="22"/>
      <c r="T14" s="22"/>
    </row>
    <row r="15" spans="1:20" s="54" customFormat="1" x14ac:dyDescent="0.2">
      <c r="A15" s="61">
        <v>19.04</v>
      </c>
      <c r="B15" s="62" t="s">
        <v>116</v>
      </c>
      <c r="C15" s="50" t="s">
        <v>117</v>
      </c>
      <c r="D15" s="51">
        <v>6768.5</v>
      </c>
      <c r="E15" s="44"/>
      <c r="F15" s="45">
        <f t="shared" ref="F15:F19" si="2">$P$1-E15</f>
        <v>200000</v>
      </c>
      <c r="G15" s="24"/>
      <c r="H15" s="24"/>
      <c r="I15" s="53">
        <v>38300191</v>
      </c>
      <c r="J15" s="53" t="s">
        <v>12</v>
      </c>
      <c r="K15" s="53">
        <v>36901024</v>
      </c>
      <c r="L15" s="53" t="s">
        <v>13</v>
      </c>
      <c r="M15" s="50">
        <v>4502022742</v>
      </c>
      <c r="N15" s="51">
        <v>6768.5</v>
      </c>
      <c r="O15" s="65">
        <f t="shared" si="1"/>
        <v>0</v>
      </c>
      <c r="R15" s="22"/>
      <c r="S15" s="22"/>
      <c r="T15" s="22"/>
    </row>
    <row r="16" spans="1:20" s="54" customFormat="1" hidden="1" x14ac:dyDescent="0.2">
      <c r="A16" s="61">
        <v>19.04</v>
      </c>
      <c r="B16" s="62" t="s">
        <v>118</v>
      </c>
      <c r="C16" s="62" t="s">
        <v>119</v>
      </c>
      <c r="D16" s="63">
        <f>(487.15*3.4)*1.17</f>
        <v>1937.8826999999999</v>
      </c>
      <c r="E16" s="51"/>
      <c r="F16" s="52">
        <f t="shared" si="2"/>
        <v>200000</v>
      </c>
      <c r="G16" s="50"/>
      <c r="H16" s="50"/>
      <c r="I16" s="50">
        <v>38300191</v>
      </c>
      <c r="J16" s="50" t="s">
        <v>12</v>
      </c>
      <c r="K16" s="50">
        <v>36901021</v>
      </c>
      <c r="L16" s="50" t="s">
        <v>15</v>
      </c>
      <c r="M16" s="50">
        <v>4502022716</v>
      </c>
      <c r="N16" s="51">
        <v>1994.85</v>
      </c>
      <c r="O16" s="65">
        <f t="shared" si="1"/>
        <v>-56.967300000000023</v>
      </c>
      <c r="R16" s="22"/>
      <c r="S16" s="22"/>
      <c r="T16" s="22"/>
    </row>
    <row r="17" spans="1:20" s="54" customFormat="1" hidden="1" x14ac:dyDescent="0.2">
      <c r="A17" s="61">
        <v>19.04</v>
      </c>
      <c r="B17" s="62" t="s">
        <v>120</v>
      </c>
      <c r="C17" s="62" t="s">
        <v>121</v>
      </c>
      <c r="D17" s="63">
        <f>20000*1.17</f>
        <v>23400</v>
      </c>
      <c r="E17" s="51"/>
      <c r="F17" s="52">
        <f t="shared" si="2"/>
        <v>200000</v>
      </c>
      <c r="G17" s="50"/>
      <c r="H17" s="50"/>
      <c r="I17" s="50">
        <v>38300191</v>
      </c>
      <c r="J17" s="50" t="s">
        <v>12</v>
      </c>
      <c r="K17" s="50">
        <v>3690112</v>
      </c>
      <c r="L17" s="50" t="s">
        <v>23</v>
      </c>
      <c r="M17" s="50">
        <v>4502023598</v>
      </c>
      <c r="N17" s="51">
        <v>23400</v>
      </c>
      <c r="O17" s="65">
        <f t="shared" si="1"/>
        <v>0</v>
      </c>
      <c r="R17" s="22"/>
      <c r="S17" s="22"/>
      <c r="T17" s="22"/>
    </row>
    <row r="18" spans="1:20" s="54" customFormat="1" ht="28.5" hidden="1" x14ac:dyDescent="0.2">
      <c r="A18" s="61">
        <v>19.04</v>
      </c>
      <c r="B18" s="67" t="s">
        <v>93</v>
      </c>
      <c r="C18" s="67" t="s">
        <v>122</v>
      </c>
      <c r="D18" s="68">
        <v>40476.370000000003</v>
      </c>
      <c r="E18" s="51"/>
      <c r="F18" s="52">
        <f t="shared" si="2"/>
        <v>200000</v>
      </c>
      <c r="G18" s="50"/>
      <c r="H18" s="50"/>
      <c r="I18" s="50">
        <v>38300191</v>
      </c>
      <c r="J18" s="50" t="s">
        <v>12</v>
      </c>
      <c r="K18" s="50">
        <v>36901021</v>
      </c>
      <c r="L18" s="50" t="s">
        <v>15</v>
      </c>
      <c r="M18" s="50">
        <v>4502022706</v>
      </c>
      <c r="N18" s="51">
        <f>Table1[[#This Row],[סכום מבוקש בש"ח כולל מעמ!!]]</f>
        <v>40476.370000000003</v>
      </c>
      <c r="O18" s="65">
        <f t="shared" si="1"/>
        <v>0</v>
      </c>
      <c r="R18" s="22"/>
      <c r="S18" s="22"/>
      <c r="T18" s="22"/>
    </row>
    <row r="19" spans="1:20" s="54" customFormat="1" ht="28.5" x14ac:dyDescent="0.2">
      <c r="A19" s="61">
        <v>19.04</v>
      </c>
      <c r="B19" s="67" t="s">
        <v>56</v>
      </c>
      <c r="C19" s="67" t="s">
        <v>123</v>
      </c>
      <c r="D19" s="68">
        <f>(7512.84+28296)*1.17</f>
        <v>41896.342799999991</v>
      </c>
      <c r="E19" s="32"/>
      <c r="F19" s="33">
        <f t="shared" si="2"/>
        <v>200000</v>
      </c>
      <c r="G19" s="31"/>
      <c r="H19" s="31"/>
      <c r="I19" s="53">
        <v>38300191</v>
      </c>
      <c r="J19" s="53" t="s">
        <v>12</v>
      </c>
      <c r="K19" s="53">
        <v>36901024</v>
      </c>
      <c r="L19" s="53" t="s">
        <v>13</v>
      </c>
      <c r="M19" s="62">
        <v>4501810476</v>
      </c>
      <c r="N19" s="63">
        <f>Table1[[#This Row],[סכום מבוקש בש"ח כולל מעמ!!]]</f>
        <v>41896.342799999991</v>
      </c>
      <c r="O19" s="65">
        <f t="shared" si="1"/>
        <v>0</v>
      </c>
      <c r="R19" s="22"/>
      <c r="S19" s="22"/>
      <c r="T19" s="22"/>
    </row>
    <row r="20" spans="1:20" s="54" customFormat="1" hidden="1" x14ac:dyDescent="0.2">
      <c r="A20" s="61">
        <v>21.04</v>
      </c>
      <c r="B20" s="62" t="s">
        <v>124</v>
      </c>
      <c r="C20" s="62" t="s">
        <v>125</v>
      </c>
      <c r="D20" s="63">
        <f>4740*1.17</f>
        <v>5545.7999999999993</v>
      </c>
      <c r="E20" s="51"/>
      <c r="F20" s="52">
        <f>$P$1-E20</f>
        <v>200000</v>
      </c>
      <c r="G20" s="50"/>
      <c r="H20" s="50"/>
      <c r="I20" s="50">
        <v>38300191</v>
      </c>
      <c r="J20" s="50" t="s">
        <v>12</v>
      </c>
      <c r="K20" s="50">
        <v>36901022</v>
      </c>
      <c r="L20" s="50" t="s">
        <v>16</v>
      </c>
      <c r="M20" s="50">
        <v>4502023607</v>
      </c>
      <c r="N20" s="51">
        <v>5545.8</v>
      </c>
      <c r="O20" s="65">
        <f t="shared" si="1"/>
        <v>0</v>
      </c>
      <c r="R20" s="22"/>
      <c r="S20" s="22"/>
      <c r="T20" s="22"/>
    </row>
    <row r="21" spans="1:20" s="49" customFormat="1" hidden="1" x14ac:dyDescent="0.2">
      <c r="A21" s="56">
        <v>21.04</v>
      </c>
      <c r="B21" s="57" t="s">
        <v>126</v>
      </c>
      <c r="C21" s="57" t="s">
        <v>127</v>
      </c>
      <c r="D21" s="58">
        <v>3500000</v>
      </c>
      <c r="E21" s="58"/>
      <c r="F21" s="59">
        <f>$P$1-E21</f>
        <v>200000</v>
      </c>
      <c r="G21" s="57"/>
      <c r="H21" s="57"/>
      <c r="I21" s="47">
        <v>38300196</v>
      </c>
      <c r="J21" s="47" t="s">
        <v>128</v>
      </c>
      <c r="K21" s="47">
        <v>36901023</v>
      </c>
      <c r="L21" s="47" t="s">
        <v>41</v>
      </c>
      <c r="M21" s="47">
        <v>4502022997</v>
      </c>
      <c r="N21" s="48">
        <v>2009299.5</v>
      </c>
      <c r="O21" s="46">
        <f t="shared" si="1"/>
        <v>1490700.5</v>
      </c>
      <c r="R21" s="22"/>
      <c r="S21" s="22"/>
      <c r="T21" s="22"/>
    </row>
    <row r="22" spans="1:20" s="54" customFormat="1" hidden="1" x14ac:dyDescent="0.2">
      <c r="A22" s="61">
        <v>28.04</v>
      </c>
      <c r="B22" s="62" t="s">
        <v>129</v>
      </c>
      <c r="C22" s="62" t="s">
        <v>130</v>
      </c>
      <c r="D22" s="63">
        <v>190944</v>
      </c>
      <c r="E22" s="51"/>
      <c r="F22" s="52">
        <f>$P$1-E22</f>
        <v>200000</v>
      </c>
      <c r="G22" s="50"/>
      <c r="H22" s="50" t="s">
        <v>131</v>
      </c>
      <c r="I22" s="50">
        <v>38300191</v>
      </c>
      <c r="J22" s="50" t="s">
        <v>12</v>
      </c>
      <c r="K22" s="50">
        <v>3690112</v>
      </c>
      <c r="L22" s="50" t="s">
        <v>23</v>
      </c>
      <c r="M22" s="66">
        <v>4501607582</v>
      </c>
      <c r="N22" s="51">
        <v>190944</v>
      </c>
      <c r="O22" s="65">
        <f t="shared" si="1"/>
        <v>0</v>
      </c>
      <c r="R22" s="22"/>
      <c r="S22" s="22"/>
      <c r="T22" s="22"/>
    </row>
    <row r="23" spans="1:20" s="54" customFormat="1" hidden="1" x14ac:dyDescent="0.2">
      <c r="A23" s="61">
        <v>28.04</v>
      </c>
      <c r="B23" s="62" t="s">
        <v>132</v>
      </c>
      <c r="C23" s="62" t="s">
        <v>133</v>
      </c>
      <c r="D23" s="63">
        <v>30513.599999999999</v>
      </c>
      <c r="E23" s="51"/>
      <c r="F23" s="52">
        <f t="shared" ref="F23:F27" si="3">$P$1-E23</f>
        <v>200000</v>
      </c>
      <c r="G23" s="50"/>
      <c r="H23" s="50" t="s">
        <v>131</v>
      </c>
      <c r="I23" s="50">
        <v>38300191</v>
      </c>
      <c r="J23" s="50" t="s">
        <v>12</v>
      </c>
      <c r="K23" s="50">
        <v>3690112</v>
      </c>
      <c r="L23" s="50" t="s">
        <v>23</v>
      </c>
      <c r="M23" s="50">
        <v>4501592542</v>
      </c>
      <c r="N23" s="51">
        <f>Table1[[#This Row],[סכום מבוקש בש"ח כולל מעמ!!]]</f>
        <v>30513.599999999999</v>
      </c>
      <c r="O23" s="65">
        <f t="shared" si="1"/>
        <v>0</v>
      </c>
      <c r="R23" s="22"/>
      <c r="S23" s="22"/>
      <c r="T23" s="22"/>
    </row>
    <row r="24" spans="1:20" s="54" customFormat="1" hidden="1" x14ac:dyDescent="0.2">
      <c r="A24" s="61">
        <v>28.04</v>
      </c>
      <c r="B24" s="67" t="s">
        <v>134</v>
      </c>
      <c r="C24" s="62" t="s">
        <v>130</v>
      </c>
      <c r="D24" s="68">
        <v>117000</v>
      </c>
      <c r="E24" s="63"/>
      <c r="F24" s="64">
        <f t="shared" si="3"/>
        <v>200000</v>
      </c>
      <c r="G24" s="62"/>
      <c r="H24" s="62"/>
      <c r="I24" s="53">
        <v>38300191</v>
      </c>
      <c r="J24" s="53" t="s">
        <v>12</v>
      </c>
      <c r="K24" s="50">
        <v>36901023</v>
      </c>
      <c r="L24" s="50" t="s">
        <v>41</v>
      </c>
      <c r="M24" s="62">
        <v>4501592542</v>
      </c>
      <c r="N24" s="63">
        <v>117000</v>
      </c>
      <c r="O24" s="65">
        <f t="shared" si="1"/>
        <v>0</v>
      </c>
      <c r="R24" s="22"/>
      <c r="S24" s="22"/>
      <c r="T24" s="22"/>
    </row>
    <row r="25" spans="1:20" s="49" customFormat="1" hidden="1" x14ac:dyDescent="0.2">
      <c r="A25" s="56">
        <v>29.04</v>
      </c>
      <c r="B25" s="57" t="s">
        <v>135</v>
      </c>
      <c r="C25" s="57" t="s">
        <v>136</v>
      </c>
      <c r="D25" s="58">
        <v>1287000</v>
      </c>
      <c r="E25" s="58"/>
      <c r="F25" s="59">
        <f t="shared" si="3"/>
        <v>200000</v>
      </c>
      <c r="G25" s="57"/>
      <c r="H25" s="47" t="s">
        <v>131</v>
      </c>
      <c r="I25" s="60">
        <v>38300105</v>
      </c>
      <c r="J25" s="60" t="s">
        <v>137</v>
      </c>
      <c r="K25" s="60">
        <v>3690102</v>
      </c>
      <c r="L25" s="60" t="s">
        <v>138</v>
      </c>
      <c r="M25" s="57">
        <v>4502023101</v>
      </c>
      <c r="N25" s="58">
        <f>Table1[[#This Row],[סכום מבוקש בש"ח כולל מעמ!!]]</f>
        <v>1287000</v>
      </c>
      <c r="O25" s="46">
        <f t="shared" si="1"/>
        <v>0</v>
      </c>
      <c r="R25" s="22"/>
      <c r="S25" s="22"/>
      <c r="T25" s="22"/>
    </row>
    <row r="26" spans="1:20" s="54" customFormat="1" hidden="1" x14ac:dyDescent="0.2">
      <c r="A26" s="61">
        <v>29.04</v>
      </c>
      <c r="B26" s="62" t="s">
        <v>59</v>
      </c>
      <c r="C26" s="62" t="s">
        <v>57</v>
      </c>
      <c r="D26" s="63">
        <v>641148.25</v>
      </c>
      <c r="E26" s="63"/>
      <c r="F26" s="64">
        <f t="shared" si="3"/>
        <v>200000</v>
      </c>
      <c r="G26" s="62"/>
      <c r="H26" s="62" t="s">
        <v>55</v>
      </c>
      <c r="I26" s="50">
        <v>38300191</v>
      </c>
      <c r="J26" s="50" t="s">
        <v>12</v>
      </c>
      <c r="K26" s="50">
        <v>36901021</v>
      </c>
      <c r="L26" s="50" t="s">
        <v>15</v>
      </c>
      <c r="M26" s="62">
        <v>4501844693</v>
      </c>
      <c r="N26" s="63">
        <v>641148.25</v>
      </c>
      <c r="O26" s="65">
        <f t="shared" si="1"/>
        <v>0</v>
      </c>
      <c r="R26" s="22"/>
      <c r="S26" s="22"/>
      <c r="T26" s="22"/>
    </row>
    <row r="27" spans="1:20" s="54" customFormat="1" ht="28.5" x14ac:dyDescent="0.2">
      <c r="A27" s="61">
        <v>29.04</v>
      </c>
      <c r="B27" s="62" t="s">
        <v>139</v>
      </c>
      <c r="C27" s="62" t="s">
        <v>140</v>
      </c>
      <c r="D27" s="63">
        <v>761</v>
      </c>
      <c r="E27" s="32"/>
      <c r="F27" s="33">
        <f t="shared" si="3"/>
        <v>200000</v>
      </c>
      <c r="G27" s="31"/>
      <c r="H27" s="31"/>
      <c r="I27" s="53">
        <v>38300191</v>
      </c>
      <c r="J27" s="53" t="s">
        <v>12</v>
      </c>
      <c r="K27" s="53">
        <v>36901024</v>
      </c>
      <c r="L27" s="53" t="s">
        <v>13</v>
      </c>
      <c r="M27" s="62">
        <v>4502026456</v>
      </c>
      <c r="N27" s="63">
        <v>761</v>
      </c>
      <c r="O27" s="65">
        <f t="shared" si="1"/>
        <v>0</v>
      </c>
      <c r="R27" s="22"/>
      <c r="S27" s="22"/>
      <c r="T27" s="22"/>
    </row>
    <row r="28" spans="1:20" s="54" customFormat="1" x14ac:dyDescent="0.2">
      <c r="A28" s="61"/>
      <c r="B28" s="62"/>
      <c r="C28" s="62"/>
      <c r="D28" s="63"/>
      <c r="E28" s="63"/>
      <c r="F28" s="62"/>
      <c r="G28" s="62"/>
      <c r="H28" s="62"/>
      <c r="I28" s="69"/>
      <c r="J28" s="69"/>
      <c r="K28" s="69"/>
      <c r="L28" s="69"/>
      <c r="M28" s="62"/>
      <c r="N28" s="63">
        <f>SUBTOTAL(109,Table1[שווי שורה/ הגדלה ])</f>
        <v>186788.67279999997</v>
      </c>
      <c r="O28" s="70"/>
      <c r="R28" s="22"/>
      <c r="S28" s="22"/>
      <c r="T28" s="22"/>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8F1C-4AE6-43CF-90B9-B560C496C208}">
  <dimension ref="A1:J38"/>
  <sheetViews>
    <sheetView rightToLeft="1" zoomScale="90" zoomScaleNormal="90" workbookViewId="0">
      <pane ySplit="1" topLeftCell="A2" activePane="bottomLeft" state="frozen"/>
      <selection pane="bottomLeft" activeCell="G24" sqref="G24"/>
    </sheetView>
  </sheetViews>
  <sheetFormatPr defaultRowHeight="14.25" x14ac:dyDescent="0.2"/>
  <cols>
    <col min="2" max="2" width="12.125" customWidth="1"/>
    <col min="3" max="3" width="47.75" customWidth="1"/>
    <col min="4" max="4" width="14.875" style="23" customWidth="1"/>
    <col min="5" max="5" width="14.125" customWidth="1"/>
    <col min="6" max="6" width="14.75" style="23" bestFit="1" customWidth="1"/>
    <col min="7" max="7" width="15.875" style="23" customWidth="1"/>
    <col min="8" max="8" width="15.875" customWidth="1"/>
    <col min="9" max="9" width="12.375" bestFit="1" customWidth="1"/>
    <col min="10" max="10" width="14.125" bestFit="1" customWidth="1"/>
  </cols>
  <sheetData>
    <row r="1" spans="1:10" s="13" customFormat="1" ht="28.5" x14ac:dyDescent="0.2">
      <c r="A1" s="13" t="s">
        <v>17</v>
      </c>
      <c r="B1" s="13" t="s">
        <v>18</v>
      </c>
      <c r="C1" s="13" t="s">
        <v>19</v>
      </c>
      <c r="D1" s="25" t="s">
        <v>20</v>
      </c>
      <c r="E1" s="13" t="s">
        <v>21</v>
      </c>
      <c r="F1" s="25" t="s">
        <v>22</v>
      </c>
      <c r="G1" s="25" t="s">
        <v>26</v>
      </c>
      <c r="H1" s="13" t="s">
        <v>30</v>
      </c>
      <c r="I1" s="13" t="s">
        <v>31</v>
      </c>
      <c r="J1" s="13" t="s">
        <v>32</v>
      </c>
    </row>
    <row r="2" spans="1:10" ht="57" x14ac:dyDescent="0.2">
      <c r="A2">
        <v>34637</v>
      </c>
      <c r="B2" t="s">
        <v>28</v>
      </c>
      <c r="C2" s="22" t="s">
        <v>33</v>
      </c>
      <c r="D2" s="23">
        <v>5800000</v>
      </c>
      <c r="E2" t="s">
        <v>14</v>
      </c>
      <c r="F2" s="23">
        <v>5800000</v>
      </c>
      <c r="G2" s="23">
        <f>טבלה3[[#This Row],[סכום מבוקש]]-טבלה3[[#This Row],[סכום מאושר]]</f>
        <v>0</v>
      </c>
      <c r="H2" s="23"/>
      <c r="I2" s="23"/>
      <c r="J2" s="23">
        <f>טבלה3[[#This Row],[סכום מאושר]]-טבלה3[[#This Row],[ניצול מתוך הפנייה ]]</f>
        <v>5800000</v>
      </c>
    </row>
    <row r="3" spans="1:10" ht="28.5" x14ac:dyDescent="0.2">
      <c r="A3">
        <v>34657</v>
      </c>
      <c r="B3" t="s">
        <v>29</v>
      </c>
      <c r="C3" s="22" t="s">
        <v>34</v>
      </c>
      <c r="D3" s="23">
        <v>7500000</v>
      </c>
      <c r="E3" t="s">
        <v>14</v>
      </c>
      <c r="F3" s="23">
        <v>7500000</v>
      </c>
      <c r="G3" s="23">
        <f>טבלה3[[#This Row],[סכום מבוקש]]-טבלה3[[#This Row],[סכום מאושר]]</f>
        <v>0</v>
      </c>
      <c r="H3" s="23"/>
      <c r="I3" s="23">
        <f>'[1]2021'!$N$45</f>
        <v>2949415.3800000004</v>
      </c>
      <c r="J3" s="23">
        <f>טבלה3[[#This Row],[סכום מאושר]]-טבלה3[[#This Row],[ניצול מתוך הפנייה ]]</f>
        <v>4550584.6199999992</v>
      </c>
    </row>
    <row r="4" spans="1:10" x14ac:dyDescent="0.2">
      <c r="A4">
        <v>34803</v>
      </c>
      <c r="B4" t="s">
        <v>35</v>
      </c>
      <c r="C4" t="s">
        <v>36</v>
      </c>
      <c r="D4" s="23">
        <v>27500000</v>
      </c>
      <c r="E4" t="s">
        <v>14</v>
      </c>
      <c r="F4" s="23">
        <v>27500000</v>
      </c>
      <c r="G4" s="23">
        <f>טבלה3[[#This Row],[סכום מבוקש]]-טבלה3[[#This Row],[סכום מאושר]]</f>
        <v>0</v>
      </c>
      <c r="H4" s="23"/>
      <c r="I4" s="23">
        <f>'[2]חישובי יתרה'!$D$21</f>
        <v>5630872.7412999999</v>
      </c>
      <c r="J4" s="23">
        <f>טבלה3[[#This Row],[סכום מאושר]]-טבלה3[[#This Row],[ניצול מתוך הפנייה ]]</f>
        <v>21869127.258699998</v>
      </c>
    </row>
    <row r="5" spans="1:10" ht="42.75" x14ac:dyDescent="0.2">
      <c r="A5">
        <v>34894</v>
      </c>
      <c r="B5" t="s">
        <v>37</v>
      </c>
      <c r="C5" s="22" t="s">
        <v>38</v>
      </c>
      <c r="D5" s="23">
        <v>175500</v>
      </c>
      <c r="E5" t="s">
        <v>39</v>
      </c>
      <c r="G5" s="23">
        <f>טבלה3[[#This Row],[סכום מבוקש]]-טבלה3[[#This Row],[סכום מאושר]]</f>
        <v>175500</v>
      </c>
      <c r="H5" s="26" t="s">
        <v>40</v>
      </c>
      <c r="I5" s="23"/>
      <c r="J5" s="23">
        <f>טבלה3[[#This Row],[סכום מאושר]]-טבלה3[[#This Row],[ניצול מתוך הפנייה ]]</f>
        <v>0</v>
      </c>
    </row>
    <row r="6" spans="1:10" ht="85.5" x14ac:dyDescent="0.2">
      <c r="A6">
        <v>35092</v>
      </c>
      <c r="B6" t="s">
        <v>43</v>
      </c>
      <c r="C6" s="22" t="s">
        <v>44</v>
      </c>
      <c r="D6" s="23">
        <v>527700000</v>
      </c>
      <c r="E6" t="s">
        <v>14</v>
      </c>
      <c r="F6" s="23">
        <f>טבלה3[[#This Row],[סכום מבוקש]]</f>
        <v>527700000</v>
      </c>
      <c r="G6" s="23">
        <f>טבלה3[[#This Row],[סכום מבוקש]]-טבלה3[[#This Row],[סכום מאושר]]</f>
        <v>0</v>
      </c>
      <c r="H6" s="22" t="s">
        <v>45</v>
      </c>
      <c r="I6" s="23"/>
      <c r="J6" s="23">
        <f>טבלה3[[#This Row],[סכום מאושר]]-טבלה3[[#This Row],[ניצול מתוך הפנייה ]]</f>
        <v>527700000</v>
      </c>
    </row>
    <row r="7" spans="1:10" ht="28.5" x14ac:dyDescent="0.2">
      <c r="A7">
        <v>35254</v>
      </c>
      <c r="B7" t="s">
        <v>46</v>
      </c>
      <c r="C7" s="29" t="s">
        <v>47</v>
      </c>
      <c r="D7" s="23">
        <v>415584</v>
      </c>
      <c r="E7" t="s">
        <v>14</v>
      </c>
      <c r="F7" s="23">
        <f>טבלה3[[#This Row],[סכום מבוקש]]</f>
        <v>415584</v>
      </c>
      <c r="G7" s="23">
        <f>טבלה3[[#This Row],[סכום מבוקש]]-טבלה3[[#This Row],[סכום מאושר]]</f>
        <v>0</v>
      </c>
      <c r="H7" s="30" t="s">
        <v>48</v>
      </c>
      <c r="I7" s="23"/>
      <c r="J7" s="23">
        <f>טבלה3[[#This Row],[סכום מאושר]]-טבלה3[[#This Row],[ניצול מתוך הפנייה ]]</f>
        <v>415584</v>
      </c>
    </row>
    <row r="8" spans="1:10" ht="85.5" x14ac:dyDescent="0.2">
      <c r="A8">
        <v>35320</v>
      </c>
      <c r="B8" t="s">
        <v>49</v>
      </c>
      <c r="C8" s="29" t="s">
        <v>50</v>
      </c>
      <c r="D8" s="23">
        <v>150000</v>
      </c>
      <c r="E8" t="s">
        <v>14</v>
      </c>
      <c r="F8" s="23">
        <f>טבלה3[[#This Row],[סכום מבוקש]]</f>
        <v>150000</v>
      </c>
      <c r="G8" s="23">
        <f>טבלה3[[#This Row],[סכום מבוקש]]-טבלה3[[#This Row],[סכום מאושר]]</f>
        <v>0</v>
      </c>
      <c r="H8" s="23"/>
      <c r="I8" s="23"/>
      <c r="J8" s="23">
        <f>טבלה3[[#This Row],[סכום מאושר]]-טבלה3[[#This Row],[ניצול מתוך הפנייה ]]</f>
        <v>150000</v>
      </c>
    </row>
    <row r="9" spans="1:10" ht="28.5" x14ac:dyDescent="0.2">
      <c r="A9">
        <v>35363</v>
      </c>
      <c r="B9" t="s">
        <v>51</v>
      </c>
      <c r="C9" s="22" t="s">
        <v>52</v>
      </c>
      <c r="D9" s="23">
        <v>234000</v>
      </c>
      <c r="E9" t="s">
        <v>14</v>
      </c>
      <c r="F9" s="23">
        <f>טבלה3[[#This Row],[סכום מבוקש]]</f>
        <v>234000</v>
      </c>
      <c r="G9" s="23">
        <f>טבלה3[[#This Row],[סכום מבוקש]]-טבלה3[[#This Row],[סכום מאושר]]</f>
        <v>0</v>
      </c>
      <c r="H9" s="23"/>
      <c r="I9" s="23"/>
      <c r="J9" s="23">
        <f>טבלה3[[#This Row],[סכום מאושר]]-טבלה3[[#This Row],[ניצול מתוך הפנייה ]]</f>
        <v>234000</v>
      </c>
    </row>
    <row r="10" spans="1:10" x14ac:dyDescent="0.2">
      <c r="G10" s="23">
        <f>טבלה3[[#This Row],[סכום מבוקש]]-טבלה3[[#This Row],[סכום מאושר]]</f>
        <v>0</v>
      </c>
      <c r="H10" s="23"/>
      <c r="I10" s="23"/>
      <c r="J10" s="23">
        <f>טבלה3[[#This Row],[סכום מאושר]]-טבלה3[[#This Row],[ניצול מתוך הפנייה ]]</f>
        <v>0</v>
      </c>
    </row>
    <row r="11" spans="1:10" x14ac:dyDescent="0.2">
      <c r="G11" s="23">
        <f>טבלה3[[#This Row],[סכום מבוקש]]-טבלה3[[#This Row],[סכום מאושר]]</f>
        <v>0</v>
      </c>
      <c r="H11" s="23"/>
      <c r="I11" s="23"/>
      <c r="J11" s="23">
        <f>טבלה3[[#This Row],[סכום מאושר]]-טבלה3[[#This Row],[ניצול מתוך הפנייה ]]</f>
        <v>0</v>
      </c>
    </row>
    <row r="12" spans="1:10" x14ac:dyDescent="0.2">
      <c r="H12" s="23"/>
      <c r="I12" s="23"/>
      <c r="J12" s="23"/>
    </row>
    <row r="13" spans="1:10" x14ac:dyDescent="0.2">
      <c r="H13" s="23"/>
      <c r="I13" s="23"/>
      <c r="J13" s="23"/>
    </row>
    <row r="14" spans="1:10" x14ac:dyDescent="0.2">
      <c r="H14" s="23"/>
      <c r="I14" s="23"/>
      <c r="J14" s="23"/>
    </row>
    <row r="15" spans="1:10" x14ac:dyDescent="0.2">
      <c r="H15" s="23"/>
      <c r="I15" s="23"/>
      <c r="J15" s="23"/>
    </row>
    <row r="16" spans="1:10" x14ac:dyDescent="0.2">
      <c r="H16" s="23"/>
      <c r="I16" s="23"/>
      <c r="J16" s="23"/>
    </row>
    <row r="17" spans="8:10" x14ac:dyDescent="0.2">
      <c r="H17" s="23"/>
      <c r="I17" s="23"/>
      <c r="J17" s="23"/>
    </row>
    <row r="18" spans="8:10" x14ac:dyDescent="0.2">
      <c r="H18" s="23"/>
      <c r="I18" s="23"/>
      <c r="J18" s="23"/>
    </row>
    <row r="19" spans="8:10" x14ac:dyDescent="0.2">
      <c r="H19" s="23"/>
      <c r="I19" s="23"/>
      <c r="J19" s="23"/>
    </row>
    <row r="20" spans="8:10" x14ac:dyDescent="0.2">
      <c r="H20" s="23"/>
      <c r="I20" s="23"/>
      <c r="J20" s="23"/>
    </row>
    <row r="21" spans="8:10" x14ac:dyDescent="0.2">
      <c r="H21" s="23"/>
      <c r="I21" s="23"/>
      <c r="J21" s="23"/>
    </row>
    <row r="22" spans="8:10" x14ac:dyDescent="0.2">
      <c r="H22" s="23"/>
      <c r="I22" s="23"/>
      <c r="J22" s="23"/>
    </row>
    <row r="23" spans="8:10" x14ac:dyDescent="0.2">
      <c r="H23" s="23"/>
      <c r="I23" s="23"/>
      <c r="J23" s="23"/>
    </row>
    <row r="24" spans="8:10" x14ac:dyDescent="0.2">
      <c r="H24" s="23"/>
      <c r="I24" s="23"/>
      <c r="J24" s="23"/>
    </row>
    <row r="25" spans="8:10" x14ac:dyDescent="0.2">
      <c r="H25" s="23"/>
      <c r="I25" s="23"/>
      <c r="J25" s="23"/>
    </row>
    <row r="26" spans="8:10" x14ac:dyDescent="0.2">
      <c r="H26" s="23"/>
      <c r="I26" s="23"/>
      <c r="J26" s="23"/>
    </row>
    <row r="27" spans="8:10" x14ac:dyDescent="0.2">
      <c r="H27" s="23"/>
      <c r="I27" s="23"/>
      <c r="J27" s="23"/>
    </row>
    <row r="28" spans="8:10" x14ac:dyDescent="0.2">
      <c r="H28" s="23"/>
      <c r="I28" s="23"/>
      <c r="J28" s="23"/>
    </row>
    <row r="29" spans="8:10" x14ac:dyDescent="0.2">
      <c r="H29" s="23"/>
      <c r="I29" s="23"/>
      <c r="J29" s="23"/>
    </row>
    <row r="30" spans="8:10" x14ac:dyDescent="0.2">
      <c r="H30" s="23"/>
      <c r="I30" s="23"/>
      <c r="J30" s="23"/>
    </row>
    <row r="31" spans="8:10" x14ac:dyDescent="0.2">
      <c r="H31" s="23"/>
      <c r="I31" s="23"/>
      <c r="J31" s="23"/>
    </row>
    <row r="32" spans="8:10" x14ac:dyDescent="0.2">
      <c r="H32" s="23"/>
      <c r="I32" s="23"/>
      <c r="J32" s="23"/>
    </row>
    <row r="33" spans="8:10" x14ac:dyDescent="0.2">
      <c r="H33" s="23"/>
      <c r="I33" s="23"/>
      <c r="J33" s="23"/>
    </row>
    <row r="34" spans="8:10" x14ac:dyDescent="0.2">
      <c r="H34" s="23"/>
      <c r="I34" s="23"/>
      <c r="J34" s="23"/>
    </row>
    <row r="35" spans="8:10" x14ac:dyDescent="0.2">
      <c r="H35" s="23"/>
      <c r="I35" s="23"/>
      <c r="J35" s="23"/>
    </row>
    <row r="36" spans="8:10" x14ac:dyDescent="0.2">
      <c r="H36" s="23"/>
      <c r="I36" s="23"/>
      <c r="J36" s="23"/>
    </row>
    <row r="37" spans="8:10" x14ac:dyDescent="0.2">
      <c r="H37" s="23"/>
      <c r="I37" s="23"/>
      <c r="J37" s="23"/>
    </row>
    <row r="38" spans="8:10" x14ac:dyDescent="0.2">
      <c r="H38" s="23"/>
      <c r="I38" s="23"/>
      <c r="J38" s="23"/>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80A24-477A-4C58-9E11-F0C82647669A}">
  <dimension ref="A1:F25"/>
  <sheetViews>
    <sheetView rightToLeft="1" workbookViewId="0">
      <pane xSplit="4" ySplit="7" topLeftCell="E8" activePane="bottomRight" state="frozen"/>
      <selection pane="topRight" activeCell="E1" sqref="E1"/>
      <selection pane="bottomLeft" activeCell="A8" sqref="A8"/>
      <selection pane="bottomRight" activeCell="C29" sqref="C29"/>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8" t="s">
        <v>53</v>
      </c>
      <c r="F2"/>
    </row>
    <row r="3" spans="1:6" s="3" customFormat="1" ht="15.75" x14ac:dyDescent="0.25">
      <c r="C3" s="20" t="s">
        <v>1</v>
      </c>
      <c r="D3" s="5"/>
      <c r="F3"/>
    </row>
    <row r="4" spans="1:6" s="3" customFormat="1" ht="15.75" x14ac:dyDescent="0.25">
      <c r="C4" s="6" t="s">
        <v>27</v>
      </c>
      <c r="D4" s="7"/>
      <c r="F4"/>
    </row>
    <row r="5" spans="1:6" s="3" customFormat="1" ht="15" x14ac:dyDescent="0.25">
      <c r="C5" s="8"/>
      <c r="D5" s="9"/>
      <c r="F5"/>
    </row>
    <row r="6" spans="1:6" s="3" customFormat="1" ht="15.75" thickBot="1" x14ac:dyDescent="0.3">
      <c r="C6" s="10" t="s">
        <v>54</v>
      </c>
      <c r="D6" s="11"/>
      <c r="F6"/>
    </row>
    <row r="7" spans="1:6" ht="28.5" x14ac:dyDescent="0.2">
      <c r="A7" s="12" t="s">
        <v>2</v>
      </c>
      <c r="B7" s="12" t="s">
        <v>3</v>
      </c>
      <c r="C7" s="12" t="s">
        <v>4</v>
      </c>
      <c r="D7" s="13" t="s">
        <v>5</v>
      </c>
    </row>
    <row r="8" spans="1:6" s="17" customFormat="1" ht="15" x14ac:dyDescent="0.25">
      <c r="A8" s="14">
        <v>1</v>
      </c>
      <c r="B8" s="15"/>
      <c r="C8" s="15" t="s">
        <v>82</v>
      </c>
      <c r="D8" s="16">
        <f>3600+700</f>
        <v>4300</v>
      </c>
    </row>
    <row r="9" spans="1:6" s="17" customFormat="1" ht="15" x14ac:dyDescent="0.25">
      <c r="A9" s="14">
        <v>2</v>
      </c>
      <c r="B9" s="15"/>
      <c r="C9" s="15" t="s">
        <v>77</v>
      </c>
      <c r="D9" s="16">
        <v>5850</v>
      </c>
    </row>
    <row r="10" spans="1:6" s="17" customFormat="1" ht="15" x14ac:dyDescent="0.25">
      <c r="A10" s="14">
        <v>3</v>
      </c>
      <c r="B10" s="15"/>
      <c r="C10" s="15" t="s">
        <v>78</v>
      </c>
      <c r="D10" s="16">
        <v>5850</v>
      </c>
    </row>
    <row r="11" spans="1:6" s="17" customFormat="1" ht="15" x14ac:dyDescent="0.25">
      <c r="A11" s="14">
        <v>4</v>
      </c>
      <c r="B11" s="15"/>
      <c r="C11" s="15" t="s">
        <v>85</v>
      </c>
      <c r="D11" s="28">
        <v>8159</v>
      </c>
    </row>
    <row r="12" spans="1:6" s="17" customFormat="1" ht="15" x14ac:dyDescent="0.25">
      <c r="A12" s="14">
        <v>5</v>
      </c>
      <c r="B12" s="15"/>
      <c r="C12" s="15" t="s">
        <v>58</v>
      </c>
      <c r="D12" s="16">
        <v>8500</v>
      </c>
    </row>
    <row r="13" spans="1:6" s="17" customFormat="1" ht="15.75" x14ac:dyDescent="0.25">
      <c r="A13" s="14">
        <v>6</v>
      </c>
      <c r="B13" s="15"/>
      <c r="C13" s="19" t="s">
        <v>75</v>
      </c>
      <c r="D13" s="21">
        <v>15480</v>
      </c>
    </row>
    <row r="14" spans="1:6" s="17" customFormat="1" ht="15" x14ac:dyDescent="0.25">
      <c r="A14" s="14">
        <v>7</v>
      </c>
      <c r="B14" s="27"/>
      <c r="C14" s="27" t="s">
        <v>84</v>
      </c>
      <c r="D14" s="28">
        <v>32974</v>
      </c>
    </row>
    <row r="15" spans="1:6" s="17" customFormat="1" ht="15" x14ac:dyDescent="0.25">
      <c r="A15" s="14">
        <v>8</v>
      </c>
      <c r="B15" s="15"/>
      <c r="C15" s="15" t="s">
        <v>80</v>
      </c>
      <c r="D15" s="16">
        <v>35000</v>
      </c>
    </row>
    <row r="16" spans="1:6" ht="15" x14ac:dyDescent="0.25">
      <c r="A16" s="14">
        <v>9</v>
      </c>
      <c r="B16" s="15"/>
      <c r="C16" s="15" t="s">
        <v>73</v>
      </c>
      <c r="D16" s="16">
        <v>37440</v>
      </c>
    </row>
    <row r="17" spans="1:4" ht="15" x14ac:dyDescent="0.25">
      <c r="A17" s="14">
        <v>10</v>
      </c>
      <c r="B17" s="27"/>
      <c r="C17" s="27" t="s">
        <v>86</v>
      </c>
      <c r="D17" s="28">
        <v>41640</v>
      </c>
    </row>
    <row r="18" spans="1:4" ht="15" x14ac:dyDescent="0.25">
      <c r="A18" s="14">
        <v>11</v>
      </c>
      <c r="B18" s="15"/>
      <c r="C18" s="15" t="s">
        <v>74</v>
      </c>
      <c r="D18" s="16">
        <v>84854</v>
      </c>
    </row>
    <row r="19" spans="1:4" ht="15" x14ac:dyDescent="0.25">
      <c r="A19" s="14">
        <v>12</v>
      </c>
      <c r="B19" s="15"/>
      <c r="C19" s="15" t="s">
        <v>79</v>
      </c>
      <c r="D19" s="16">
        <v>127806</v>
      </c>
    </row>
    <row r="20" spans="1:4" ht="15.75" x14ac:dyDescent="0.25">
      <c r="A20" s="14">
        <v>13</v>
      </c>
      <c r="B20" s="15"/>
      <c r="C20" s="15" t="s">
        <v>81</v>
      </c>
      <c r="D20" s="21" t="e">
        <f>106013+838+#REF!</f>
        <v>#REF!</v>
      </c>
    </row>
    <row r="21" spans="1:4" ht="15" x14ac:dyDescent="0.25">
      <c r="A21" s="14">
        <v>14</v>
      </c>
      <c r="B21" s="15"/>
      <c r="C21" s="15" t="s">
        <v>87</v>
      </c>
      <c r="D21" s="16">
        <v>497103.7</v>
      </c>
    </row>
    <row r="22" spans="1:4" ht="15" x14ac:dyDescent="0.25">
      <c r="A22" s="14">
        <v>15</v>
      </c>
      <c r="B22" s="27"/>
      <c r="C22" s="27" t="s">
        <v>83</v>
      </c>
      <c r="D22" s="28" t="e">
        <f>614360+#REF!</f>
        <v>#REF!</v>
      </c>
    </row>
    <row r="23" spans="1:4" ht="15" x14ac:dyDescent="0.25">
      <c r="A23" s="14">
        <v>16</v>
      </c>
      <c r="B23" s="15"/>
      <c r="C23" s="15" t="s">
        <v>76</v>
      </c>
      <c r="D23" s="16" t="e">
        <f>998887.5+#REF!</f>
        <v>#REF!</v>
      </c>
    </row>
    <row r="24" spans="1:4" ht="15" x14ac:dyDescent="0.25">
      <c r="A24" s="14">
        <v>17</v>
      </c>
      <c r="B24" s="15"/>
      <c r="C24" s="15" t="s">
        <v>88</v>
      </c>
      <c r="D24" s="16">
        <v>3514106.6999999997</v>
      </c>
    </row>
    <row r="25" spans="1:4" ht="15" x14ac:dyDescent="0.25">
      <c r="A25" s="14"/>
      <c r="B25" s="27"/>
      <c r="C25" s="27"/>
      <c r="D25" s="16" t="e">
        <f>SUBTOTAL(109,D4:D24)</f>
        <v>#REF!</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AB5B8-6BE4-4D99-9AAA-3F9CD2A68649}">
  <dimension ref="A1:F23"/>
  <sheetViews>
    <sheetView rightToLeft="1" tabSelected="1" workbookViewId="0">
      <pane xSplit="4" ySplit="7" topLeftCell="E8" activePane="bottomRight" state="frozen"/>
      <selection pane="topRight" activeCell="E1" sqref="E1"/>
      <selection pane="bottomLeft" activeCell="A8" sqref="A8"/>
      <selection pane="bottomRight" activeCell="D17" sqref="D17"/>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8" t="s">
        <v>141</v>
      </c>
      <c r="F2"/>
    </row>
    <row r="3" spans="1:6" s="3" customFormat="1" ht="15.75" x14ac:dyDescent="0.25">
      <c r="C3" s="20" t="s">
        <v>1</v>
      </c>
      <c r="D3" s="5"/>
      <c r="F3"/>
    </row>
    <row r="4" spans="1:6" s="3" customFormat="1" ht="15.75" x14ac:dyDescent="0.25">
      <c r="C4" s="6" t="s">
        <v>27</v>
      </c>
      <c r="D4" s="7"/>
      <c r="F4"/>
    </row>
    <row r="5" spans="1:6" s="3" customFormat="1" ht="15" x14ac:dyDescent="0.25">
      <c r="C5" s="8"/>
      <c r="D5" s="9"/>
      <c r="F5"/>
    </row>
    <row r="6" spans="1:6" s="3" customFormat="1" ht="15.75" thickBot="1" x14ac:dyDescent="0.3">
      <c r="C6" s="10" t="s">
        <v>142</v>
      </c>
      <c r="D6" s="11"/>
      <c r="F6"/>
    </row>
    <row r="7" spans="1:6" ht="28.5" x14ac:dyDescent="0.2">
      <c r="A7" s="12" t="s">
        <v>2</v>
      </c>
      <c r="B7" s="12" t="s">
        <v>3</v>
      </c>
      <c r="C7" s="12" t="s">
        <v>4</v>
      </c>
      <c r="D7" s="13" t="s">
        <v>5</v>
      </c>
    </row>
    <row r="8" spans="1:6" s="17" customFormat="1" ht="15" x14ac:dyDescent="0.25">
      <c r="A8" s="14">
        <v>1</v>
      </c>
      <c r="B8" s="27"/>
      <c r="C8" s="27" t="s">
        <v>153</v>
      </c>
      <c r="D8" s="28">
        <v>660</v>
      </c>
    </row>
    <row r="9" spans="1:6" s="17" customFormat="1" ht="15" x14ac:dyDescent="0.25">
      <c r="A9" s="14">
        <v>2</v>
      </c>
      <c r="B9" s="27"/>
      <c r="C9" s="27" t="s">
        <v>147</v>
      </c>
      <c r="D9" s="28">
        <v>5545.7999999999993</v>
      </c>
    </row>
    <row r="10" spans="1:6" s="17" customFormat="1" ht="15" x14ac:dyDescent="0.25">
      <c r="A10" s="14">
        <v>3</v>
      </c>
      <c r="B10" s="15"/>
      <c r="C10" s="15" t="s">
        <v>152</v>
      </c>
      <c r="D10" s="16">
        <v>5850</v>
      </c>
    </row>
    <row r="11" spans="1:6" s="17" customFormat="1" ht="15" x14ac:dyDescent="0.25">
      <c r="A11" s="14">
        <v>4</v>
      </c>
      <c r="B11" s="15"/>
      <c r="C11" s="15" t="s">
        <v>148</v>
      </c>
      <c r="D11" s="16">
        <v>6142.5</v>
      </c>
    </row>
    <row r="12" spans="1:6" s="17" customFormat="1" ht="15" x14ac:dyDescent="0.25">
      <c r="A12" s="14">
        <v>5</v>
      </c>
      <c r="B12" s="27"/>
      <c r="C12" s="27" t="s">
        <v>13</v>
      </c>
      <c r="D12" s="28">
        <v>7762</v>
      </c>
    </row>
    <row r="13" spans="1:6" s="17" customFormat="1" ht="15" x14ac:dyDescent="0.25">
      <c r="A13" s="14">
        <v>6</v>
      </c>
      <c r="B13" s="15"/>
      <c r="C13" s="15" t="s">
        <v>151</v>
      </c>
      <c r="D13" s="16">
        <v>10000</v>
      </c>
    </row>
    <row r="14" spans="1:6" s="17" customFormat="1" ht="15" x14ac:dyDescent="0.25">
      <c r="A14" s="14">
        <v>7</v>
      </c>
      <c r="B14" s="15"/>
      <c r="C14" s="15" t="s">
        <v>145</v>
      </c>
      <c r="D14" s="16">
        <f>'דוח תנועות'!N11</f>
        <v>16040.7</v>
      </c>
    </row>
    <row r="15" spans="1:6" s="17" customFormat="1" ht="15" x14ac:dyDescent="0.25">
      <c r="A15" s="14">
        <v>8</v>
      </c>
      <c r="B15" s="15"/>
      <c r="C15" s="19" t="s">
        <v>146</v>
      </c>
      <c r="D15" s="16">
        <v>33590.699999999997</v>
      </c>
    </row>
    <row r="16" spans="1:6" ht="15" x14ac:dyDescent="0.25">
      <c r="A16" s="14">
        <v>9</v>
      </c>
      <c r="B16" s="15"/>
      <c r="C16" s="15" t="s">
        <v>150</v>
      </c>
      <c r="D16" s="16">
        <v>41896.342799999991</v>
      </c>
    </row>
    <row r="17" spans="1:4" ht="15" x14ac:dyDescent="0.25">
      <c r="A17" s="14">
        <v>10</v>
      </c>
      <c r="B17" s="15"/>
      <c r="C17" s="15" t="s">
        <v>149</v>
      </c>
      <c r="D17" s="16">
        <v>117000</v>
      </c>
    </row>
    <row r="18" spans="1:4" ht="15" x14ac:dyDescent="0.25">
      <c r="A18" s="14">
        <v>11</v>
      </c>
      <c r="B18" s="15"/>
      <c r="C18" s="15" t="s">
        <v>154</v>
      </c>
      <c r="D18" s="16">
        <v>120620</v>
      </c>
    </row>
    <row r="19" spans="1:4" ht="15" x14ac:dyDescent="0.25">
      <c r="A19" s="14">
        <v>12</v>
      </c>
      <c r="B19" s="15"/>
      <c r="C19" s="15" t="s">
        <v>144</v>
      </c>
      <c r="D19" s="16">
        <v>685768.76</v>
      </c>
    </row>
    <row r="20" spans="1:4" ht="15" x14ac:dyDescent="0.25">
      <c r="A20" s="14">
        <v>13</v>
      </c>
      <c r="B20" s="15"/>
      <c r="C20" s="15" t="s">
        <v>156</v>
      </c>
      <c r="D20" s="28">
        <v>1256557.6000000001</v>
      </c>
    </row>
    <row r="21" spans="1:4" ht="15" x14ac:dyDescent="0.25">
      <c r="A21" s="14">
        <v>14</v>
      </c>
      <c r="B21" s="15"/>
      <c r="C21" s="15" t="s">
        <v>155</v>
      </c>
      <c r="D21" s="16">
        <v>1287000</v>
      </c>
    </row>
    <row r="22" spans="1:4" ht="15" x14ac:dyDescent="0.25">
      <c r="A22" s="14">
        <v>15</v>
      </c>
      <c r="B22" s="15"/>
      <c r="C22" s="15" t="s">
        <v>143</v>
      </c>
      <c r="D22" s="16">
        <f>'דוח תנועות'!N21</f>
        <v>2009299.5</v>
      </c>
    </row>
    <row r="23" spans="1:4" ht="15" x14ac:dyDescent="0.25">
      <c r="A23" s="14"/>
      <c r="B23" s="27"/>
      <c r="C23" s="27"/>
      <c r="D23" s="16">
        <f>SUBTOTAL(109,D4:D22)</f>
        <v>5603733.9028000003</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דוח תנועות</vt:lpstr>
      <vt:lpstr>דוח פניות לאוצר 2021</vt:lpstr>
      <vt:lpstr>מרץ</vt:lpstr>
      <vt:lpstr>אפריל</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Shira Vegotzky</dc:creator>
  <cp:keywords/>
  <dc:description/>
  <cp:lastModifiedBy>Shira Vegotzky</cp:lastModifiedBy>
  <dcterms:created xsi:type="dcterms:W3CDTF">2020-05-03T06:35:46Z</dcterms:created>
  <dcterms:modified xsi:type="dcterms:W3CDTF">2021-05-13T10:03:23Z</dcterms:modified>
  <cp:category/>
</cp:coreProperties>
</file>